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gee\Desktop\orginal data Mortatha\"/>
    </mc:Choice>
  </mc:AlternateContent>
  <bookViews>
    <workbookView xWindow="315" yWindow="165" windowWidth="15300" windowHeight="8520" firstSheet="2" activeTab="9"/>
  </bookViews>
  <sheets>
    <sheet name="Fertiliser calcs" sheetId="5" r:id="rId1"/>
    <sheet name="In situ counts" sheetId="4" r:id="rId2"/>
    <sheet name="dry weights" sheetId="1" r:id="rId3"/>
    <sheet name="Sheet1" sheetId="8" r:id="rId4"/>
    <sheet name="digest" sheetId="2" r:id="rId5"/>
    <sheet name="Count data" sheetId="3" r:id="rId6"/>
    <sheet name="P standards count" sheetId="6" r:id="rId7"/>
    <sheet name="count of solutions used" sheetId="7" r:id="rId8"/>
    <sheet name="moisture" sheetId="9" r:id="rId9"/>
    <sheet name="PC, PF% &amp; Pf" sheetId="10" r:id="rId10"/>
  </sheets>
  <definedNames>
    <definedName name="_xlnm._FilterDatabase" localSheetId="2" hidden="1">'dry weights'!$A$3:$P$58</definedName>
    <definedName name="_xlnm._FilterDatabase" localSheetId="3" hidden="1">Sheet1!$A$3:$R$58</definedName>
  </definedNames>
  <calcPr calcId="152511"/>
</workbook>
</file>

<file path=xl/calcChain.xml><?xml version="1.0" encoding="utf-8"?>
<calcChain xmlns="http://schemas.openxmlformats.org/spreadsheetml/2006/main">
  <c r="AZ9" i="3" l="1"/>
  <c r="AZ24" i="3" s="1"/>
  <c r="BC24" i="3" s="1"/>
  <c r="BA21" i="3"/>
  <c r="AZ17" i="3"/>
  <c r="BC17" i="3" s="1"/>
  <c r="AY15" i="3"/>
  <c r="BB15" i="3" s="1"/>
  <c r="BA27" i="3"/>
  <c r="AY27" i="3"/>
  <c r="BB27" i="3" s="1"/>
  <c r="BA30" i="3"/>
  <c r="AY30" i="3"/>
  <c r="BC30" i="3" s="1"/>
  <c r="BA9" i="3"/>
  <c r="BA6" i="3"/>
  <c r="BA24" i="3" s="1"/>
  <c r="AY6" i="3"/>
  <c r="BB6" i="3" s="1"/>
  <c r="BC9" i="3" l="1"/>
  <c r="AY24" i="3"/>
  <c r="BB24" i="3" s="1"/>
  <c r="AO5" i="3"/>
  <c r="AP5" i="3"/>
  <c r="AP4" i="3"/>
  <c r="AO4" i="3"/>
  <c r="AP13" i="3"/>
  <c r="AP12" i="3"/>
  <c r="AO13" i="3"/>
  <c r="AO12" i="3"/>
  <c r="AH17" i="3"/>
  <c r="AG17" i="3"/>
  <c r="AC17" i="3"/>
  <c r="AA17" i="3"/>
  <c r="Q17" i="3"/>
  <c r="AD17" i="3" s="1"/>
  <c r="O17" i="3"/>
  <c r="AB17" i="3" s="1"/>
  <c r="AH16" i="3"/>
  <c r="AG16" i="3"/>
  <c r="AC16" i="3"/>
  <c r="AA16" i="3"/>
  <c r="Q16" i="3"/>
  <c r="AD16" i="3" s="1"/>
  <c r="O16" i="3"/>
  <c r="AB16" i="3" s="1"/>
  <c r="AC5" i="3"/>
  <c r="AC12" i="3"/>
  <c r="AC13" i="3"/>
  <c r="AC20" i="3"/>
  <c r="AC21" i="3"/>
  <c r="AC28" i="3"/>
  <c r="AC29" i="3"/>
  <c r="AC36" i="3"/>
  <c r="AC37" i="3"/>
  <c r="AC44" i="3"/>
  <c r="AC45" i="3"/>
  <c r="AC52" i="3"/>
  <c r="AC53" i="3"/>
  <c r="AC6" i="3"/>
  <c r="AC7" i="3"/>
  <c r="AC14" i="3"/>
  <c r="AC15" i="3"/>
  <c r="AC22" i="3"/>
  <c r="AC23" i="3"/>
  <c r="AC30" i="3"/>
  <c r="AC31" i="3"/>
  <c r="AC38" i="3"/>
  <c r="AC39" i="3"/>
  <c r="AC46" i="3"/>
  <c r="AC47" i="3"/>
  <c r="AC54" i="3"/>
  <c r="AC55" i="3"/>
  <c r="AC8" i="3"/>
  <c r="AC9" i="3"/>
  <c r="AC24" i="3"/>
  <c r="AC25" i="3"/>
  <c r="AC32" i="3"/>
  <c r="AC33" i="3"/>
  <c r="AC40" i="3"/>
  <c r="AC41" i="3"/>
  <c r="AC48" i="3"/>
  <c r="AC49" i="3"/>
  <c r="AC56" i="3"/>
  <c r="AC57" i="3"/>
  <c r="AC10" i="3"/>
  <c r="AC11" i="3"/>
  <c r="AC18" i="3"/>
  <c r="AC19" i="3"/>
  <c r="AC26" i="3"/>
  <c r="AC27" i="3"/>
  <c r="AC34" i="3"/>
  <c r="AC35" i="3"/>
  <c r="AC42" i="3"/>
  <c r="AC43" i="3"/>
  <c r="AC50" i="3"/>
  <c r="AC51" i="3"/>
  <c r="AC58" i="3"/>
  <c r="AC59" i="3"/>
  <c r="AC4" i="3"/>
  <c r="AG5" i="3"/>
  <c r="AG12" i="3"/>
  <c r="AG13" i="3"/>
  <c r="AG20" i="3"/>
  <c r="AG21" i="3"/>
  <c r="AG28" i="3"/>
  <c r="AG29" i="3"/>
  <c r="AG36" i="3"/>
  <c r="AG37" i="3"/>
  <c r="AG44" i="3"/>
  <c r="AG45" i="3"/>
  <c r="AG52" i="3"/>
  <c r="AG53" i="3"/>
  <c r="AG6" i="3"/>
  <c r="AG7" i="3"/>
  <c r="AG14" i="3"/>
  <c r="AG15" i="3"/>
  <c r="AG22" i="3"/>
  <c r="AG23" i="3"/>
  <c r="AG30" i="3"/>
  <c r="AG31" i="3"/>
  <c r="AG38" i="3"/>
  <c r="AG39" i="3"/>
  <c r="AG46" i="3"/>
  <c r="AG47" i="3"/>
  <c r="AG54" i="3"/>
  <c r="AG55" i="3"/>
  <c r="AG8" i="3"/>
  <c r="AG9" i="3"/>
  <c r="AG24" i="3"/>
  <c r="AG25" i="3"/>
  <c r="AG32" i="3"/>
  <c r="AG33" i="3"/>
  <c r="AG40" i="3"/>
  <c r="AG41" i="3"/>
  <c r="AG48" i="3"/>
  <c r="AG49" i="3"/>
  <c r="AG56" i="3"/>
  <c r="AG57" i="3"/>
  <c r="AG10" i="3"/>
  <c r="AG11" i="3"/>
  <c r="AG18" i="3"/>
  <c r="AG19" i="3"/>
  <c r="AG26" i="3"/>
  <c r="AG27" i="3"/>
  <c r="AG34" i="3"/>
  <c r="AG35" i="3"/>
  <c r="AG42" i="3"/>
  <c r="AG43" i="3"/>
  <c r="AG50" i="3"/>
  <c r="AG51" i="3"/>
  <c r="AG58" i="3"/>
  <c r="AG59" i="3"/>
  <c r="AG4" i="3"/>
  <c r="AA5" i="3"/>
  <c r="AA12" i="3"/>
  <c r="AA13" i="3"/>
  <c r="AA20" i="3"/>
  <c r="AA21" i="3"/>
  <c r="AA28" i="3"/>
  <c r="AA29" i="3"/>
  <c r="AA36" i="3"/>
  <c r="AA37" i="3"/>
  <c r="AA44" i="3"/>
  <c r="AA45" i="3"/>
  <c r="AA52" i="3"/>
  <c r="AA53" i="3"/>
  <c r="AA6" i="3"/>
  <c r="AA7" i="3"/>
  <c r="AA14" i="3"/>
  <c r="AA15" i="3"/>
  <c r="AA22" i="3"/>
  <c r="AA23" i="3"/>
  <c r="AA30" i="3"/>
  <c r="AA31" i="3"/>
  <c r="AA38" i="3"/>
  <c r="AA39" i="3"/>
  <c r="AA46" i="3"/>
  <c r="AA47" i="3"/>
  <c r="AA54" i="3"/>
  <c r="AA55" i="3"/>
  <c r="AA8" i="3"/>
  <c r="AA9" i="3"/>
  <c r="AA24" i="3"/>
  <c r="AA25" i="3"/>
  <c r="AA32" i="3"/>
  <c r="AA33" i="3"/>
  <c r="AA40" i="3"/>
  <c r="AA41" i="3"/>
  <c r="AA48" i="3"/>
  <c r="AA49" i="3"/>
  <c r="AA56" i="3"/>
  <c r="AA57" i="3"/>
  <c r="AA10" i="3"/>
  <c r="AA11" i="3"/>
  <c r="AA18" i="3"/>
  <c r="AA19" i="3"/>
  <c r="AA26" i="3"/>
  <c r="AA27" i="3"/>
  <c r="AA34" i="3"/>
  <c r="AA35" i="3"/>
  <c r="AA42" i="3"/>
  <c r="AA43" i="3"/>
  <c r="AA50" i="3"/>
  <c r="AA51" i="3"/>
  <c r="AA58" i="3"/>
  <c r="AA59" i="3"/>
  <c r="AA4" i="3"/>
  <c r="AI4" i="3" l="1"/>
  <c r="AI50" i="3"/>
  <c r="AI34" i="3"/>
  <c r="AI18" i="3"/>
  <c r="AI56" i="3"/>
  <c r="AI40" i="3"/>
  <c r="AI24" i="3"/>
  <c r="AI54" i="3"/>
  <c r="AI38" i="3"/>
  <c r="AI22" i="3"/>
  <c r="AI6" i="3"/>
  <c r="AI44" i="3"/>
  <c r="AI28" i="3"/>
  <c r="AI12" i="3"/>
  <c r="AI51" i="3"/>
  <c r="AI35" i="3"/>
  <c r="AI19" i="3"/>
  <c r="AI57" i="3"/>
  <c r="AI41" i="3"/>
  <c r="AI25" i="3"/>
  <c r="AI55" i="3"/>
  <c r="AI39" i="3"/>
  <c r="AI23" i="3"/>
  <c r="AI7" i="3"/>
  <c r="AI45" i="3"/>
  <c r="AI29" i="3"/>
  <c r="AI13" i="3"/>
  <c r="AI59" i="3"/>
  <c r="AI43" i="3"/>
  <c r="AI27" i="3"/>
  <c r="AI11" i="3"/>
  <c r="AI49" i="3"/>
  <c r="AI33" i="3"/>
  <c r="AI9" i="3"/>
  <c r="AI47" i="3"/>
  <c r="AI31" i="3"/>
  <c r="AI15" i="3"/>
  <c r="AI53" i="3"/>
  <c r="AI37" i="3"/>
  <c r="AI21" i="3"/>
  <c r="AI5" i="3"/>
  <c r="AI58" i="3"/>
  <c r="AI42" i="3"/>
  <c r="AI26" i="3"/>
  <c r="AI10" i="3"/>
  <c r="AI48" i="3"/>
  <c r="AI32" i="3"/>
  <c r="AI8" i="3"/>
  <c r="AI46" i="3"/>
  <c r="AI30" i="3"/>
  <c r="AI14" i="3"/>
  <c r="AI52" i="3"/>
  <c r="AI36" i="3"/>
  <c r="AI20" i="3"/>
  <c r="AJ17" i="3"/>
  <c r="AI16" i="3"/>
  <c r="AM16" i="3" s="1"/>
  <c r="AK17" i="3"/>
  <c r="AN17" i="3" s="1"/>
  <c r="AI17" i="3"/>
  <c r="AM17" i="3" s="1"/>
  <c r="AL16" i="3"/>
  <c r="AK16" i="3"/>
  <c r="AN16" i="3" s="1"/>
  <c r="AJ16" i="3"/>
  <c r="AL17" i="3"/>
  <c r="AK58" i="3"/>
  <c r="AK26" i="3"/>
  <c r="AK48" i="3"/>
  <c r="AK38" i="3"/>
  <c r="AK6" i="3"/>
  <c r="AK28" i="3"/>
  <c r="AK51" i="3"/>
  <c r="AK35" i="3"/>
  <c r="AK19" i="3"/>
  <c r="AK57" i="3"/>
  <c r="AK41" i="3"/>
  <c r="AK25" i="3"/>
  <c r="AK9" i="3"/>
  <c r="AK47" i="3"/>
  <c r="AK31" i="3"/>
  <c r="AK15" i="3"/>
  <c r="AK53" i="3"/>
  <c r="AK37" i="3"/>
  <c r="AK21" i="3"/>
  <c r="AK5" i="3"/>
  <c r="AK4" i="3"/>
  <c r="AK50" i="3"/>
  <c r="AK34" i="3"/>
  <c r="AK18" i="3"/>
  <c r="AK56" i="3"/>
  <c r="AK40" i="3"/>
  <c r="AK24" i="3"/>
  <c r="AK8" i="3"/>
  <c r="AK46" i="3"/>
  <c r="AK30" i="3"/>
  <c r="AK14" i="3"/>
  <c r="AK52" i="3"/>
  <c r="AK36" i="3"/>
  <c r="AK20" i="3"/>
  <c r="AK59" i="3"/>
  <c r="AK43" i="3"/>
  <c r="AK27" i="3"/>
  <c r="AK11" i="3"/>
  <c r="AK49" i="3"/>
  <c r="AK33" i="3"/>
  <c r="AK55" i="3"/>
  <c r="AK39" i="3"/>
  <c r="AK23" i="3"/>
  <c r="AK7" i="3"/>
  <c r="AK45" i="3"/>
  <c r="AK29" i="3"/>
  <c r="AK13" i="3"/>
  <c r="AK42" i="3"/>
  <c r="AK10" i="3"/>
  <c r="AK32" i="3"/>
  <c r="AK54" i="3"/>
  <c r="AK22" i="3"/>
  <c r="AK44" i="3"/>
  <c r="AK12" i="3"/>
  <c r="S58" i="8"/>
  <c r="R58" i="8"/>
  <c r="K58" i="8"/>
  <c r="S57" i="8"/>
  <c r="R57" i="8"/>
  <c r="K57" i="8"/>
  <c r="S56" i="8"/>
  <c r="R44" i="8"/>
  <c r="S55" i="8"/>
  <c r="R30" i="8"/>
  <c r="S54" i="8"/>
  <c r="R43" i="8"/>
  <c r="S53" i="8"/>
  <c r="R29" i="8"/>
  <c r="S52" i="8"/>
  <c r="R16" i="8"/>
  <c r="S51" i="8"/>
  <c r="R15" i="8"/>
  <c r="S50" i="8"/>
  <c r="R56" i="8"/>
  <c r="Q56" i="8"/>
  <c r="K56" i="8"/>
  <c r="S49" i="8"/>
  <c r="R55" i="8"/>
  <c r="Q55" i="8"/>
  <c r="K55" i="8"/>
  <c r="S48" i="8"/>
  <c r="R42" i="8"/>
  <c r="S47" i="8"/>
  <c r="R41" i="8"/>
  <c r="S46" i="8"/>
  <c r="R28" i="8"/>
  <c r="S45" i="8"/>
  <c r="R27" i="8"/>
  <c r="S44" i="8"/>
  <c r="R14" i="8"/>
  <c r="S43" i="8"/>
  <c r="R13" i="8"/>
  <c r="S42" i="8"/>
  <c r="R54" i="8"/>
  <c r="Q54" i="8"/>
  <c r="K54" i="8"/>
  <c r="S41" i="8"/>
  <c r="R53" i="8"/>
  <c r="Q53" i="8"/>
  <c r="K53" i="8"/>
  <c r="S40" i="8"/>
  <c r="R40" i="8"/>
  <c r="S39" i="8"/>
  <c r="R39" i="8"/>
  <c r="S38" i="8"/>
  <c r="R26" i="8"/>
  <c r="S37" i="8"/>
  <c r="R25" i="8"/>
  <c r="S36" i="8"/>
  <c r="R12" i="8"/>
  <c r="S35" i="8"/>
  <c r="R11" i="8"/>
  <c r="S34" i="8"/>
  <c r="R52" i="8"/>
  <c r="Q52" i="8"/>
  <c r="K52" i="8"/>
  <c r="S33" i="8"/>
  <c r="R51" i="8"/>
  <c r="Q51" i="8"/>
  <c r="K51" i="8"/>
  <c r="S32" i="8"/>
  <c r="R38" i="8"/>
  <c r="S31" i="8"/>
  <c r="R37" i="8"/>
  <c r="S30" i="8"/>
  <c r="R24" i="8"/>
  <c r="S29" i="8"/>
  <c r="R23" i="8"/>
  <c r="S28" i="8"/>
  <c r="R10" i="8"/>
  <c r="S27" i="8"/>
  <c r="R9" i="8"/>
  <c r="S26" i="8"/>
  <c r="R50" i="8"/>
  <c r="Q50" i="8"/>
  <c r="K50" i="8"/>
  <c r="S25" i="8"/>
  <c r="R49" i="8"/>
  <c r="Q49" i="8"/>
  <c r="K49" i="8"/>
  <c r="S24" i="8"/>
  <c r="R36" i="8"/>
  <c r="S23" i="8"/>
  <c r="R35" i="8"/>
  <c r="S22" i="8"/>
  <c r="R22" i="8"/>
  <c r="S21" i="8"/>
  <c r="R21" i="8"/>
  <c r="S20" i="8"/>
  <c r="R8" i="8"/>
  <c r="S19" i="8"/>
  <c r="R7" i="8"/>
  <c r="S18" i="8"/>
  <c r="R48" i="8"/>
  <c r="Q48" i="8"/>
  <c r="K48" i="8"/>
  <c r="S17" i="8"/>
  <c r="R47" i="8"/>
  <c r="Q47" i="8"/>
  <c r="K47" i="8"/>
  <c r="S16" i="8"/>
  <c r="R34" i="8"/>
  <c r="S15" i="8"/>
  <c r="R33" i="8"/>
  <c r="S14" i="8"/>
  <c r="R20" i="8"/>
  <c r="S13" i="8"/>
  <c r="R19" i="8"/>
  <c r="S12" i="8"/>
  <c r="R6" i="8"/>
  <c r="S11" i="8"/>
  <c r="R5" i="8"/>
  <c r="S10" i="8"/>
  <c r="R46" i="8"/>
  <c r="Q46" i="8"/>
  <c r="K46" i="8"/>
  <c r="S9" i="8"/>
  <c r="R45" i="8"/>
  <c r="Q45" i="8"/>
  <c r="K45" i="8"/>
  <c r="S8" i="8"/>
  <c r="R32" i="8"/>
  <c r="S7" i="8"/>
  <c r="R31" i="8"/>
  <c r="S6" i="8"/>
  <c r="R18" i="8"/>
  <c r="S5" i="8"/>
  <c r="R17" i="8"/>
  <c r="S4" i="8"/>
  <c r="R4" i="8"/>
  <c r="S3" i="8"/>
  <c r="R3" i="8"/>
  <c r="AD14" i="3" l="1"/>
  <c r="Q69" i="6"/>
  <c r="Q55" i="6"/>
  <c r="AH5" i="3" l="1"/>
  <c r="AH12" i="3"/>
  <c r="AH13" i="3"/>
  <c r="AH20" i="3"/>
  <c r="AH21" i="3"/>
  <c r="AH28" i="3"/>
  <c r="AH29" i="3"/>
  <c r="AH36" i="3"/>
  <c r="AH37" i="3"/>
  <c r="AH44" i="3"/>
  <c r="AH45" i="3"/>
  <c r="AH52" i="3"/>
  <c r="AH53" i="3"/>
  <c r="AH6" i="3"/>
  <c r="AH7" i="3"/>
  <c r="AH14" i="3"/>
  <c r="AL14" i="3" s="1"/>
  <c r="AH15" i="3"/>
  <c r="AH22" i="3"/>
  <c r="AH23" i="3"/>
  <c r="AH30" i="3"/>
  <c r="AH31" i="3"/>
  <c r="AH38" i="3"/>
  <c r="AH39" i="3"/>
  <c r="AH46" i="3"/>
  <c r="AH47" i="3"/>
  <c r="AH54" i="3"/>
  <c r="AH55" i="3"/>
  <c r="AH8" i="3"/>
  <c r="AH9" i="3"/>
  <c r="AH24" i="3"/>
  <c r="AH25" i="3"/>
  <c r="AH32" i="3"/>
  <c r="AH33" i="3"/>
  <c r="AH40" i="3"/>
  <c r="AH41" i="3"/>
  <c r="AH48" i="3"/>
  <c r="AH49" i="3"/>
  <c r="AH56" i="3"/>
  <c r="AH57" i="3"/>
  <c r="AH10" i="3"/>
  <c r="AH11" i="3"/>
  <c r="AH18" i="3"/>
  <c r="AH19" i="3"/>
  <c r="AH26" i="3"/>
  <c r="AH27" i="3"/>
  <c r="AH34" i="3"/>
  <c r="AH35" i="3"/>
  <c r="AH42" i="3"/>
  <c r="AH43" i="3"/>
  <c r="AH50" i="3"/>
  <c r="AH51" i="3"/>
  <c r="AH58" i="3"/>
  <c r="AH59" i="3"/>
  <c r="AH4" i="3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4" i="2"/>
  <c r="O14" i="3"/>
  <c r="AB14" i="3" s="1"/>
  <c r="K82" i="6"/>
  <c r="N82" i="6" s="1"/>
  <c r="J82" i="6"/>
  <c r="J81" i="6"/>
  <c r="K81" i="6" s="1"/>
  <c r="I38" i="5"/>
  <c r="J38" i="5" s="1"/>
  <c r="J48" i="5" s="1"/>
  <c r="L48" i="5" s="1"/>
  <c r="I37" i="5"/>
  <c r="J37" i="5" s="1"/>
  <c r="J47" i="5" s="1"/>
  <c r="L47" i="5" s="1"/>
  <c r="H38" i="5"/>
  <c r="H37" i="5"/>
  <c r="P66" i="6"/>
  <c r="Q66" i="6" s="1"/>
  <c r="P65" i="6"/>
  <c r="Q65" i="6" s="1"/>
  <c r="Q67" i="6" s="1"/>
  <c r="R67" i="6" s="1"/>
  <c r="S67" i="6" s="1"/>
  <c r="Q51" i="6"/>
  <c r="P52" i="6"/>
  <c r="Q52" i="6" s="1"/>
  <c r="P51" i="6"/>
  <c r="D76" i="6"/>
  <c r="F76" i="6" s="1"/>
  <c r="D75" i="6"/>
  <c r="E76" i="6"/>
  <c r="E75" i="6"/>
  <c r="F75" i="6" s="1"/>
  <c r="N81" i="6" l="1"/>
  <c r="L81" i="6"/>
  <c r="L82" i="6"/>
  <c r="AJ14" i="3"/>
  <c r="Q57" i="6"/>
  <c r="N58" i="6"/>
  <c r="M59" i="6"/>
  <c r="N59" i="6" s="1"/>
  <c r="M58" i="6"/>
  <c r="O66" i="6"/>
  <c r="O65" i="6"/>
  <c r="Q53" i="6" l="1"/>
  <c r="R53" i="6" s="1"/>
  <c r="S53" i="6" s="1"/>
  <c r="AW17" i="2"/>
  <c r="AU17" i="2"/>
  <c r="N33" i="5" l="1"/>
  <c r="L32" i="5"/>
  <c r="L34" i="5" s="1"/>
  <c r="K32" i="5"/>
  <c r="K34" i="5" s="1"/>
  <c r="H31" i="5"/>
  <c r="G31" i="5"/>
  <c r="F31" i="5"/>
  <c r="K29" i="5"/>
  <c r="K27" i="5"/>
  <c r="K25" i="5"/>
  <c r="K23" i="5"/>
  <c r="K21" i="5"/>
  <c r="K20" i="5"/>
  <c r="L19" i="5"/>
  <c r="K18" i="5"/>
  <c r="L17" i="5"/>
  <c r="G14" i="5"/>
  <c r="B11" i="5"/>
  <c r="B12" i="5" s="1"/>
  <c r="B13" i="5" s="1"/>
  <c r="G8" i="5"/>
  <c r="G9" i="5" s="1"/>
  <c r="G10" i="5" s="1"/>
  <c r="K31" i="5" l="1"/>
  <c r="L31" i="5"/>
  <c r="L33" i="5"/>
  <c r="K33" i="5"/>
  <c r="O33" i="5" s="1"/>
  <c r="M47" i="5" l="1"/>
  <c r="N47" i="5" s="1"/>
  <c r="Q33" i="5"/>
  <c r="K35" i="5"/>
  <c r="O34" i="5"/>
  <c r="L35" i="5"/>
  <c r="Y53" i="3"/>
  <c r="Q5" i="3"/>
  <c r="AD5" i="3" s="1"/>
  <c r="AL5" i="3" s="1"/>
  <c r="Q12" i="3"/>
  <c r="AD12" i="3" s="1"/>
  <c r="AL12" i="3" s="1"/>
  <c r="Q13" i="3"/>
  <c r="AD13" i="3" s="1"/>
  <c r="AL13" i="3" s="1"/>
  <c r="Q20" i="3"/>
  <c r="AD20" i="3" s="1"/>
  <c r="AL20" i="3" s="1"/>
  <c r="Q21" i="3"/>
  <c r="AD21" i="3" s="1"/>
  <c r="AL21" i="3" s="1"/>
  <c r="Q28" i="3"/>
  <c r="AD28" i="3" s="1"/>
  <c r="AL28" i="3" s="1"/>
  <c r="Q29" i="3"/>
  <c r="AD29" i="3" s="1"/>
  <c r="AL29" i="3" s="1"/>
  <c r="Q36" i="3"/>
  <c r="AD36" i="3" s="1"/>
  <c r="AL36" i="3" s="1"/>
  <c r="Q37" i="3"/>
  <c r="AD37" i="3" s="1"/>
  <c r="AL37" i="3" s="1"/>
  <c r="Q44" i="3"/>
  <c r="AD44" i="3" s="1"/>
  <c r="AL44" i="3" s="1"/>
  <c r="Q45" i="3"/>
  <c r="AD45" i="3" s="1"/>
  <c r="AL45" i="3" s="1"/>
  <c r="Q52" i="3"/>
  <c r="AD52" i="3" s="1"/>
  <c r="AL52" i="3" s="1"/>
  <c r="Q53" i="3"/>
  <c r="AD53" i="3" s="1"/>
  <c r="AL53" i="3" s="1"/>
  <c r="Q6" i="3"/>
  <c r="AD6" i="3" s="1"/>
  <c r="AL6" i="3" s="1"/>
  <c r="Q7" i="3"/>
  <c r="AD7" i="3" s="1"/>
  <c r="AL7" i="3" s="1"/>
  <c r="Q15" i="3"/>
  <c r="AD15" i="3" s="1"/>
  <c r="AL15" i="3" s="1"/>
  <c r="Q22" i="3"/>
  <c r="AD22" i="3" s="1"/>
  <c r="AL22" i="3" s="1"/>
  <c r="Q23" i="3"/>
  <c r="AD23" i="3" s="1"/>
  <c r="AL23" i="3" s="1"/>
  <c r="Q30" i="3"/>
  <c r="AD30" i="3" s="1"/>
  <c r="AL30" i="3" s="1"/>
  <c r="Q31" i="3"/>
  <c r="AD31" i="3" s="1"/>
  <c r="AL31" i="3" s="1"/>
  <c r="Q38" i="3"/>
  <c r="AD38" i="3" s="1"/>
  <c r="AL38" i="3" s="1"/>
  <c r="Q39" i="3"/>
  <c r="AD39" i="3" s="1"/>
  <c r="AL39" i="3" s="1"/>
  <c r="Q46" i="3"/>
  <c r="AD46" i="3" s="1"/>
  <c r="AL46" i="3" s="1"/>
  <c r="Q47" i="3"/>
  <c r="AD47" i="3" s="1"/>
  <c r="AL47" i="3" s="1"/>
  <c r="Q54" i="3"/>
  <c r="AD54" i="3" s="1"/>
  <c r="AL54" i="3" s="1"/>
  <c r="Q55" i="3"/>
  <c r="AD55" i="3" s="1"/>
  <c r="AL55" i="3" s="1"/>
  <c r="Q8" i="3"/>
  <c r="AD8" i="3" s="1"/>
  <c r="AL8" i="3" s="1"/>
  <c r="Q9" i="3"/>
  <c r="AD9" i="3" s="1"/>
  <c r="AL9" i="3" s="1"/>
  <c r="Q24" i="3"/>
  <c r="AD24" i="3" s="1"/>
  <c r="AL24" i="3" s="1"/>
  <c r="Q25" i="3"/>
  <c r="AD25" i="3" s="1"/>
  <c r="AL25" i="3" s="1"/>
  <c r="Q32" i="3"/>
  <c r="AD32" i="3" s="1"/>
  <c r="AL32" i="3" s="1"/>
  <c r="Q33" i="3"/>
  <c r="AD33" i="3" s="1"/>
  <c r="AL33" i="3" s="1"/>
  <c r="Q40" i="3"/>
  <c r="AD40" i="3" s="1"/>
  <c r="AL40" i="3" s="1"/>
  <c r="Q41" i="3"/>
  <c r="AD41" i="3" s="1"/>
  <c r="AL41" i="3" s="1"/>
  <c r="Q48" i="3"/>
  <c r="AD48" i="3" s="1"/>
  <c r="AL48" i="3" s="1"/>
  <c r="Q49" i="3"/>
  <c r="AD49" i="3" s="1"/>
  <c r="AL49" i="3" s="1"/>
  <c r="Q56" i="3"/>
  <c r="AD56" i="3" s="1"/>
  <c r="AL56" i="3" s="1"/>
  <c r="Q57" i="3"/>
  <c r="AD57" i="3" s="1"/>
  <c r="AL57" i="3" s="1"/>
  <c r="Q10" i="3"/>
  <c r="AD10" i="3" s="1"/>
  <c r="AL10" i="3" s="1"/>
  <c r="Q11" i="3"/>
  <c r="AD11" i="3" s="1"/>
  <c r="AL11" i="3" s="1"/>
  <c r="Q18" i="3"/>
  <c r="AD18" i="3" s="1"/>
  <c r="AL18" i="3" s="1"/>
  <c r="Q19" i="3"/>
  <c r="AD19" i="3" s="1"/>
  <c r="AL19" i="3" s="1"/>
  <c r="Q26" i="3"/>
  <c r="AD26" i="3" s="1"/>
  <c r="AL26" i="3" s="1"/>
  <c r="Q27" i="3"/>
  <c r="AD27" i="3" s="1"/>
  <c r="AL27" i="3" s="1"/>
  <c r="Q34" i="3"/>
  <c r="AD34" i="3" s="1"/>
  <c r="AL34" i="3" s="1"/>
  <c r="Q35" i="3"/>
  <c r="AD35" i="3" s="1"/>
  <c r="AL35" i="3" s="1"/>
  <c r="Q42" i="3"/>
  <c r="AD42" i="3" s="1"/>
  <c r="AL42" i="3" s="1"/>
  <c r="Q43" i="3"/>
  <c r="AD43" i="3" s="1"/>
  <c r="AL43" i="3" s="1"/>
  <c r="Q50" i="3"/>
  <c r="AD50" i="3" s="1"/>
  <c r="AL50" i="3" s="1"/>
  <c r="Q51" i="3"/>
  <c r="AD51" i="3" s="1"/>
  <c r="AL51" i="3" s="1"/>
  <c r="Q58" i="3"/>
  <c r="AD58" i="3" s="1"/>
  <c r="AL58" i="3" s="1"/>
  <c r="Q59" i="3"/>
  <c r="AD59" i="3" s="1"/>
  <c r="AL59" i="3" s="1"/>
  <c r="Q4" i="3"/>
  <c r="AD4" i="3" s="1"/>
  <c r="AL4" i="3" s="1"/>
  <c r="O5" i="3"/>
  <c r="AB5" i="3" s="1"/>
  <c r="AJ5" i="3" s="1"/>
  <c r="O12" i="3"/>
  <c r="AB12" i="3" s="1"/>
  <c r="AJ12" i="3" s="1"/>
  <c r="O13" i="3"/>
  <c r="AB13" i="3" s="1"/>
  <c r="AJ13" i="3" s="1"/>
  <c r="O20" i="3"/>
  <c r="AB20" i="3" s="1"/>
  <c r="AJ20" i="3" s="1"/>
  <c r="O21" i="3"/>
  <c r="AB21" i="3" s="1"/>
  <c r="AJ21" i="3" s="1"/>
  <c r="O28" i="3"/>
  <c r="AB28" i="3" s="1"/>
  <c r="AJ28" i="3" s="1"/>
  <c r="O29" i="3"/>
  <c r="AB29" i="3" s="1"/>
  <c r="AJ29" i="3" s="1"/>
  <c r="O36" i="3"/>
  <c r="AB36" i="3" s="1"/>
  <c r="AJ36" i="3" s="1"/>
  <c r="O37" i="3"/>
  <c r="AB37" i="3" s="1"/>
  <c r="AJ37" i="3" s="1"/>
  <c r="O44" i="3"/>
  <c r="AB44" i="3" s="1"/>
  <c r="AJ44" i="3" s="1"/>
  <c r="O45" i="3"/>
  <c r="AB45" i="3" s="1"/>
  <c r="AJ45" i="3" s="1"/>
  <c r="O52" i="3"/>
  <c r="AB52" i="3" s="1"/>
  <c r="AJ52" i="3" s="1"/>
  <c r="O53" i="3"/>
  <c r="AB53" i="3" s="1"/>
  <c r="AJ53" i="3" s="1"/>
  <c r="O6" i="3"/>
  <c r="AB6" i="3" s="1"/>
  <c r="AJ6" i="3" s="1"/>
  <c r="O7" i="3"/>
  <c r="AB7" i="3" s="1"/>
  <c r="AJ7" i="3" s="1"/>
  <c r="O15" i="3"/>
  <c r="AB15" i="3" s="1"/>
  <c r="AJ15" i="3" s="1"/>
  <c r="O22" i="3"/>
  <c r="AB22" i="3" s="1"/>
  <c r="AJ22" i="3" s="1"/>
  <c r="O23" i="3"/>
  <c r="AB23" i="3" s="1"/>
  <c r="AJ23" i="3" s="1"/>
  <c r="O30" i="3"/>
  <c r="AB30" i="3" s="1"/>
  <c r="AJ30" i="3" s="1"/>
  <c r="O31" i="3"/>
  <c r="AB31" i="3" s="1"/>
  <c r="AJ31" i="3" s="1"/>
  <c r="O38" i="3"/>
  <c r="AB38" i="3" s="1"/>
  <c r="AJ38" i="3" s="1"/>
  <c r="O39" i="3"/>
  <c r="AB39" i="3" s="1"/>
  <c r="AJ39" i="3" s="1"/>
  <c r="O46" i="3"/>
  <c r="AB46" i="3" s="1"/>
  <c r="AJ46" i="3" s="1"/>
  <c r="O47" i="3"/>
  <c r="AB47" i="3" s="1"/>
  <c r="AJ47" i="3" s="1"/>
  <c r="O54" i="3"/>
  <c r="AB54" i="3" s="1"/>
  <c r="AJ54" i="3" s="1"/>
  <c r="O55" i="3"/>
  <c r="AB55" i="3" s="1"/>
  <c r="AJ55" i="3" s="1"/>
  <c r="O8" i="3"/>
  <c r="AB8" i="3" s="1"/>
  <c r="AJ8" i="3" s="1"/>
  <c r="O9" i="3"/>
  <c r="AB9" i="3" s="1"/>
  <c r="AJ9" i="3" s="1"/>
  <c r="O24" i="3"/>
  <c r="AB24" i="3" s="1"/>
  <c r="AJ24" i="3" s="1"/>
  <c r="O25" i="3"/>
  <c r="AB25" i="3" s="1"/>
  <c r="AJ25" i="3" s="1"/>
  <c r="O32" i="3"/>
  <c r="AB32" i="3" s="1"/>
  <c r="AJ32" i="3" s="1"/>
  <c r="O33" i="3"/>
  <c r="AB33" i="3" s="1"/>
  <c r="AJ33" i="3" s="1"/>
  <c r="O40" i="3"/>
  <c r="AB40" i="3" s="1"/>
  <c r="AJ40" i="3" s="1"/>
  <c r="O41" i="3"/>
  <c r="AB41" i="3" s="1"/>
  <c r="AJ41" i="3" s="1"/>
  <c r="O48" i="3"/>
  <c r="AB48" i="3" s="1"/>
  <c r="AJ48" i="3" s="1"/>
  <c r="O49" i="3"/>
  <c r="AB49" i="3" s="1"/>
  <c r="AJ49" i="3" s="1"/>
  <c r="O56" i="3"/>
  <c r="AB56" i="3" s="1"/>
  <c r="AJ56" i="3" s="1"/>
  <c r="O57" i="3"/>
  <c r="AB57" i="3" s="1"/>
  <c r="AJ57" i="3" s="1"/>
  <c r="O10" i="3"/>
  <c r="AB10" i="3" s="1"/>
  <c r="AJ10" i="3" s="1"/>
  <c r="O11" i="3"/>
  <c r="AB11" i="3" s="1"/>
  <c r="AJ11" i="3" s="1"/>
  <c r="O18" i="3"/>
  <c r="AB18" i="3" s="1"/>
  <c r="AJ18" i="3" s="1"/>
  <c r="O19" i="3"/>
  <c r="AB19" i="3" s="1"/>
  <c r="AJ19" i="3" s="1"/>
  <c r="O26" i="3"/>
  <c r="AB26" i="3" s="1"/>
  <c r="AJ26" i="3" s="1"/>
  <c r="O27" i="3"/>
  <c r="AB27" i="3" s="1"/>
  <c r="AJ27" i="3" s="1"/>
  <c r="O34" i="3"/>
  <c r="AB34" i="3" s="1"/>
  <c r="AJ34" i="3" s="1"/>
  <c r="O35" i="3"/>
  <c r="AB35" i="3" s="1"/>
  <c r="AJ35" i="3" s="1"/>
  <c r="O42" i="3"/>
  <c r="AB42" i="3" s="1"/>
  <c r="AJ42" i="3" s="1"/>
  <c r="O43" i="3"/>
  <c r="AB43" i="3" s="1"/>
  <c r="AJ43" i="3" s="1"/>
  <c r="O50" i="3"/>
  <c r="AB50" i="3" s="1"/>
  <c r="AJ50" i="3" s="1"/>
  <c r="O51" i="3"/>
  <c r="AB51" i="3" s="1"/>
  <c r="AJ51" i="3" s="1"/>
  <c r="O58" i="3"/>
  <c r="AB58" i="3" s="1"/>
  <c r="AJ58" i="3" s="1"/>
  <c r="O59" i="3"/>
  <c r="AB59" i="3" s="1"/>
  <c r="AJ59" i="3" s="1"/>
  <c r="O4" i="3"/>
  <c r="AB4" i="3" s="1"/>
  <c r="AJ4" i="3" s="1"/>
  <c r="P98" i="3"/>
  <c r="N98" i="3"/>
  <c r="O97" i="3"/>
  <c r="O96" i="3"/>
  <c r="O95" i="3"/>
  <c r="O94" i="3"/>
  <c r="O93" i="3"/>
  <c r="O92" i="3"/>
  <c r="O91" i="3"/>
  <c r="O90" i="3"/>
  <c r="O89" i="3"/>
  <c r="O88" i="3"/>
  <c r="M48" i="5" l="1"/>
  <c r="N48" i="5" s="1"/>
  <c r="Q34" i="5"/>
  <c r="Q50" i="1"/>
  <c r="Q49" i="1"/>
  <c r="Q42" i="1"/>
  <c r="Q41" i="1"/>
  <c r="Q34" i="1"/>
  <c r="Q33" i="1"/>
  <c r="Q26" i="1"/>
  <c r="Q25" i="1"/>
  <c r="Q18" i="1"/>
  <c r="Q17" i="1"/>
  <c r="Q10" i="1"/>
  <c r="Q9" i="1"/>
  <c r="K58" i="1"/>
  <c r="K57" i="1"/>
  <c r="K50" i="1"/>
  <c r="K49" i="1"/>
  <c r="K42" i="1"/>
  <c r="K41" i="1"/>
  <c r="K34" i="1"/>
  <c r="K33" i="1"/>
  <c r="K26" i="1"/>
  <c r="K25" i="1"/>
  <c r="K18" i="1"/>
  <c r="K17" i="1"/>
  <c r="K10" i="1"/>
  <c r="K9" i="1"/>
  <c r="S5" i="1"/>
  <c r="S7" i="1"/>
  <c r="S9" i="1"/>
  <c r="S4" i="1"/>
  <c r="S6" i="1"/>
  <c r="S8" i="1"/>
  <c r="S10" i="1"/>
  <c r="S11" i="1"/>
  <c r="S13" i="1"/>
  <c r="S15" i="1"/>
  <c r="S17" i="1"/>
  <c r="S12" i="1"/>
  <c r="S14" i="1"/>
  <c r="S16" i="1"/>
  <c r="S18" i="1"/>
  <c r="S19" i="1"/>
  <c r="S21" i="1"/>
  <c r="S23" i="1"/>
  <c r="S25" i="1"/>
  <c r="S20" i="1"/>
  <c r="S22" i="1"/>
  <c r="S24" i="1"/>
  <c r="S26" i="1"/>
  <c r="S27" i="1"/>
  <c r="S29" i="1"/>
  <c r="S31" i="1"/>
  <c r="S33" i="1"/>
  <c r="S28" i="1"/>
  <c r="S30" i="1"/>
  <c r="S32" i="1"/>
  <c r="S34" i="1"/>
  <c r="S35" i="1"/>
  <c r="S37" i="1"/>
  <c r="S39" i="1"/>
  <c r="S41" i="1"/>
  <c r="S36" i="1"/>
  <c r="S38" i="1"/>
  <c r="S40" i="1"/>
  <c r="S42" i="1"/>
  <c r="S43" i="1"/>
  <c r="S45" i="1"/>
  <c r="S47" i="1"/>
  <c r="S49" i="1"/>
  <c r="S44" i="1"/>
  <c r="S46" i="1"/>
  <c r="S48" i="1"/>
  <c r="S50" i="1"/>
  <c r="S51" i="1"/>
  <c r="S53" i="1"/>
  <c r="S54" i="1"/>
  <c r="S57" i="1"/>
  <c r="S52" i="1"/>
  <c r="S55" i="1"/>
  <c r="S56" i="1"/>
  <c r="S58" i="1"/>
  <c r="S3" i="1"/>
  <c r="R5" i="1"/>
  <c r="R7" i="1"/>
  <c r="R9" i="1"/>
  <c r="R4" i="1"/>
  <c r="R6" i="1"/>
  <c r="R8" i="1"/>
  <c r="R10" i="1"/>
  <c r="R11" i="1"/>
  <c r="R13" i="1"/>
  <c r="R15" i="1"/>
  <c r="R17" i="1"/>
  <c r="R12" i="1"/>
  <c r="R14" i="1"/>
  <c r="R16" i="1"/>
  <c r="R18" i="1"/>
  <c r="R19" i="1"/>
  <c r="R21" i="1"/>
  <c r="R23" i="1"/>
  <c r="R25" i="1"/>
  <c r="R20" i="1"/>
  <c r="R22" i="1"/>
  <c r="R24" i="1"/>
  <c r="R26" i="1"/>
  <c r="R27" i="1"/>
  <c r="R29" i="1"/>
  <c r="R31" i="1"/>
  <c r="R33" i="1"/>
  <c r="R28" i="1"/>
  <c r="R30" i="1"/>
  <c r="R32" i="1"/>
  <c r="R34" i="1"/>
  <c r="R35" i="1"/>
  <c r="R37" i="1"/>
  <c r="R39" i="1"/>
  <c r="R41" i="1"/>
  <c r="R36" i="1"/>
  <c r="R38" i="1"/>
  <c r="R40" i="1"/>
  <c r="R42" i="1"/>
  <c r="R43" i="1"/>
  <c r="R45" i="1"/>
  <c r="R47" i="1"/>
  <c r="R49" i="1"/>
  <c r="R44" i="1"/>
  <c r="R46" i="1"/>
  <c r="R48" i="1"/>
  <c r="R50" i="1"/>
  <c r="R51" i="1"/>
  <c r="R53" i="1"/>
  <c r="R54" i="1"/>
  <c r="R57" i="1"/>
  <c r="R52" i="1"/>
  <c r="R55" i="1"/>
  <c r="R56" i="1"/>
  <c r="R58" i="1"/>
  <c r="R3" i="1"/>
  <c r="S55" i="4" l="1"/>
  <c r="S54" i="4"/>
  <c r="S53" i="4"/>
  <c r="S52" i="4"/>
  <c r="S51" i="4"/>
  <c r="S50" i="4"/>
  <c r="S49" i="4"/>
  <c r="S48" i="4"/>
  <c r="T54" i="4" s="1"/>
  <c r="S47" i="4"/>
  <c r="S46" i="4"/>
  <c r="T48" i="4" s="1"/>
  <c r="S45" i="4"/>
  <c r="T51" i="4" s="1"/>
  <c r="S44" i="4"/>
  <c r="T50" i="4" s="1"/>
  <c r="S43" i="4"/>
  <c r="S42" i="4"/>
  <c r="S41" i="4"/>
  <c r="T47" i="4" s="1"/>
  <c r="S40" i="4"/>
  <c r="T46" i="4" s="1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" i="4"/>
  <c r="T45" i="4" l="1"/>
  <c r="T53" i="4"/>
  <c r="T52" i="4"/>
  <c r="T55" i="4"/>
  <c r="T49" i="4"/>
  <c r="T43" i="4"/>
  <c r="T42" i="4"/>
  <c r="T44" i="4"/>
  <c r="AF12" i="2" l="1"/>
  <c r="AF14" i="2"/>
  <c r="AF17" i="2"/>
  <c r="AF20" i="2"/>
  <c r="AF39" i="2"/>
  <c r="AF41" i="2"/>
  <c r="AF47" i="2"/>
  <c r="AF48" i="2"/>
  <c r="AC4" i="2"/>
  <c r="AL64" i="2"/>
  <c r="AL66" i="2"/>
  <c r="AE6" i="2"/>
  <c r="AE7" i="2"/>
  <c r="AL7" i="2"/>
  <c r="AE9" i="2"/>
  <c r="AL9" i="2"/>
  <c r="AE13" i="2"/>
  <c r="AA14" i="2"/>
  <c r="AH14" i="2"/>
  <c r="AL15" i="2"/>
  <c r="AH18" i="2"/>
  <c r="AE19" i="2"/>
  <c r="AA20" i="2"/>
  <c r="AH21" i="2"/>
  <c r="AL22" i="2"/>
  <c r="AL26" i="2"/>
  <c r="AH27" i="2"/>
  <c r="AA28" i="2"/>
  <c r="AL29" i="2"/>
  <c r="AA33" i="2"/>
  <c r="AB33" i="2"/>
  <c r="AL33" i="2"/>
  <c r="AL34" i="2"/>
  <c r="AL36" i="2"/>
  <c r="AI37" i="2"/>
  <c r="AA39" i="2"/>
  <c r="AH39" i="2"/>
  <c r="AL39" i="2"/>
  <c r="AL40" i="2"/>
  <c r="AE42" i="2"/>
  <c r="AE43" i="2"/>
  <c r="AI43" i="2"/>
  <c r="AL46" i="2"/>
  <c r="AE47" i="2"/>
  <c r="AI47" i="2"/>
  <c r="AI48" i="2"/>
  <c r="AL48" i="2"/>
  <c r="AL50" i="2"/>
  <c r="AE52" i="2"/>
  <c r="AL52" i="2"/>
  <c r="AE53" i="2"/>
  <c r="AI53" i="2"/>
  <c r="AL53" i="2"/>
  <c r="AA56" i="2"/>
  <c r="AE56" i="2"/>
  <c r="AI56" i="2"/>
  <c r="AE57" i="2"/>
  <c r="AL57" i="2"/>
  <c r="AL58" i="2"/>
  <c r="AE4" i="2"/>
  <c r="O77" i="2"/>
  <c r="AB35" i="2" s="1"/>
  <c r="P77" i="2"/>
  <c r="AC30" i="2" s="1"/>
  <c r="Q77" i="2"/>
  <c r="AD16" i="2" s="1"/>
  <c r="R77" i="2"/>
  <c r="AE14" i="2" s="1"/>
  <c r="S77" i="2"/>
  <c r="AF7" i="2" s="1"/>
  <c r="T77" i="2"/>
  <c r="U77" i="2"/>
  <c r="AH34" i="2" s="1"/>
  <c r="V77" i="2"/>
  <c r="AI5" i="2" s="1"/>
  <c r="W77" i="2"/>
  <c r="AJ16" i="2" s="1"/>
  <c r="X77" i="2"/>
  <c r="AL18" i="2"/>
  <c r="N77" i="2"/>
  <c r="AA67" i="2" s="1"/>
  <c r="AC56" i="2" l="1"/>
  <c r="AC40" i="2"/>
  <c r="AA49" i="2"/>
  <c r="AI44" i="2"/>
  <c r="AB28" i="2"/>
  <c r="AI22" i="2"/>
  <c r="AA16" i="2"/>
  <c r="AF55" i="2"/>
  <c r="AF25" i="2"/>
  <c r="AE59" i="2"/>
  <c r="AI55" i="2"/>
  <c r="AI51" i="2"/>
  <c r="AA42" i="2"/>
  <c r="AI36" i="2"/>
  <c r="AI30" i="2"/>
  <c r="AI24" i="2"/>
  <c r="AI17" i="2"/>
  <c r="AE12" i="2"/>
  <c r="AE5" i="2"/>
  <c r="AF67" i="2"/>
  <c r="AF34" i="2"/>
  <c r="AF6" i="2"/>
  <c r="AI31" i="2"/>
  <c r="AA26" i="2"/>
  <c r="AI54" i="2"/>
  <c r="AA46" i="2"/>
  <c r="AE36" i="2"/>
  <c r="AE30" i="2"/>
  <c r="AE23" i="2"/>
  <c r="AE17" i="2"/>
  <c r="AA12" i="2"/>
  <c r="AF64" i="2"/>
  <c r="AF33" i="2"/>
  <c r="AJ48" i="2"/>
  <c r="AB42" i="2"/>
  <c r="AI58" i="2"/>
  <c r="AA54" i="2"/>
  <c r="AE50" i="2"/>
  <c r="AD45" i="2"/>
  <c r="AA40" i="2"/>
  <c r="AE11" i="2"/>
  <c r="AA66" i="2"/>
  <c r="AF56" i="2"/>
  <c r="AF26" i="2"/>
  <c r="AJ46" i="2"/>
  <c r="AH20" i="2"/>
  <c r="AH64" i="2"/>
  <c r="AH13" i="2"/>
  <c r="AH22" i="2"/>
  <c r="AH30" i="2"/>
  <c r="AH42" i="2"/>
  <c r="AH45" i="2"/>
  <c r="AH48" i="2"/>
  <c r="AH52" i="2"/>
  <c r="AH55" i="2"/>
  <c r="AH56" i="2"/>
  <c r="AH8" i="2"/>
  <c r="AH26" i="2"/>
  <c r="AH29" i="2"/>
  <c r="AH32" i="2"/>
  <c r="AH35" i="2"/>
  <c r="AH38" i="2"/>
  <c r="AH44" i="2"/>
  <c r="AH51" i="2"/>
  <c r="AH58" i="2"/>
  <c r="AD20" i="2"/>
  <c r="AD17" i="2"/>
  <c r="AD24" i="2"/>
  <c r="AD33" i="2"/>
  <c r="AD44" i="2"/>
  <c r="AD51" i="2"/>
  <c r="AD10" i="2"/>
  <c r="AD37" i="2"/>
  <c r="AD50" i="2"/>
  <c r="AD4" i="2"/>
  <c r="AD54" i="2"/>
  <c r="AD40" i="2"/>
  <c r="AH31" i="2"/>
  <c r="AH28" i="2"/>
  <c r="AD21" i="2"/>
  <c r="AH5" i="2"/>
  <c r="AH65" i="2"/>
  <c r="AK10" i="2"/>
  <c r="AK20" i="2"/>
  <c r="AK44" i="2"/>
  <c r="AK22" i="2"/>
  <c r="AK52" i="2"/>
  <c r="AK23" i="2"/>
  <c r="AK54" i="2"/>
  <c r="AG17" i="2"/>
  <c r="AG39" i="2"/>
  <c r="AG4" i="2"/>
  <c r="AC11" i="2"/>
  <c r="AC5" i="2"/>
  <c r="AC19" i="2"/>
  <c r="AC32" i="2"/>
  <c r="AC48" i="2"/>
  <c r="AC64" i="2"/>
  <c r="AC10" i="2"/>
  <c r="AC21" i="2"/>
  <c r="AC35" i="2"/>
  <c r="AC51" i="2"/>
  <c r="AC66" i="2"/>
  <c r="AC13" i="2"/>
  <c r="AC27" i="2"/>
  <c r="AH57" i="2"/>
  <c r="AH46" i="2"/>
  <c r="AD38" i="2"/>
  <c r="AD26" i="2"/>
  <c r="AH10" i="2"/>
  <c r="AH7" i="2"/>
  <c r="AC52" i="2"/>
  <c r="AC16" i="2"/>
  <c r="AK67" i="2"/>
  <c r="AH47" i="2"/>
  <c r="AH43" i="2"/>
  <c r="AH16" i="2"/>
  <c r="AH15" i="2"/>
  <c r="AD64" i="2"/>
  <c r="AC43" i="2"/>
  <c r="AK32" i="2"/>
  <c r="AB21" i="2"/>
  <c r="AB19" i="2"/>
  <c r="AF58" i="2"/>
  <c r="AF52" i="2"/>
  <c r="AF46" i="2"/>
  <c r="AF38" i="2"/>
  <c r="AF31" i="2"/>
  <c r="AF24" i="2"/>
  <c r="AF16" i="2"/>
  <c r="AF9" i="2"/>
  <c r="AJ24" i="2"/>
  <c r="AI4" i="2"/>
  <c r="AA59" i="2"/>
  <c r="AE49" i="2"/>
  <c r="AB47" i="2"/>
  <c r="AI41" i="2"/>
  <c r="AE38" i="2"/>
  <c r="AA32" i="2"/>
  <c r="AE29" i="2"/>
  <c r="AI27" i="2"/>
  <c r="AE26" i="2"/>
  <c r="AI20" i="2"/>
  <c r="AA19" i="2"/>
  <c r="AI11" i="2"/>
  <c r="AA10" i="2"/>
  <c r="AE66" i="2"/>
  <c r="AF57" i="2"/>
  <c r="AF49" i="2"/>
  <c r="AF44" i="2"/>
  <c r="AF36" i="2"/>
  <c r="AF28" i="2"/>
  <c r="AF23" i="2"/>
  <c r="AF15" i="2"/>
  <c r="AG64" i="2"/>
  <c r="AG65" i="2"/>
  <c r="AG66" i="2"/>
  <c r="AG67" i="2"/>
  <c r="AG63" i="2"/>
  <c r="AG5" i="2"/>
  <c r="AG13" i="2"/>
  <c r="AG21" i="2"/>
  <c r="AG29" i="2"/>
  <c r="AG37" i="2"/>
  <c r="AG45" i="2"/>
  <c r="AG53" i="2"/>
  <c r="AG11" i="2"/>
  <c r="AG19" i="2"/>
  <c r="AG27" i="2"/>
  <c r="AG35" i="2"/>
  <c r="AG43" i="2"/>
  <c r="AG51" i="2"/>
  <c r="AG59" i="2"/>
  <c r="AG14" i="2"/>
  <c r="AG24" i="2"/>
  <c r="AG34" i="2"/>
  <c r="AG46" i="2"/>
  <c r="AG56" i="2"/>
  <c r="AG57" i="2"/>
  <c r="AG15" i="2"/>
  <c r="AG25" i="2"/>
  <c r="AG36" i="2"/>
  <c r="AG47" i="2"/>
  <c r="AG6" i="2"/>
  <c r="AG16" i="2"/>
  <c r="AG26" i="2"/>
  <c r="AG38" i="2"/>
  <c r="AG48" i="2"/>
  <c r="AG58" i="2"/>
  <c r="AG10" i="2"/>
  <c r="AG22" i="2"/>
  <c r="AG32" i="2"/>
  <c r="AG42" i="2"/>
  <c r="AG54" i="2"/>
  <c r="AJ63" i="2"/>
  <c r="AJ9" i="2"/>
  <c r="AJ17" i="2"/>
  <c r="AJ25" i="2"/>
  <c r="AJ33" i="2"/>
  <c r="AJ41" i="2"/>
  <c r="AJ49" i="2"/>
  <c r="AJ57" i="2"/>
  <c r="AJ7" i="2"/>
  <c r="AJ15" i="2"/>
  <c r="AJ23" i="2"/>
  <c r="AJ31" i="2"/>
  <c r="AJ39" i="2"/>
  <c r="AJ47" i="2"/>
  <c r="AJ55" i="2"/>
  <c r="AJ67" i="2"/>
  <c r="AJ10" i="2"/>
  <c r="AJ20" i="2"/>
  <c r="AJ30" i="2"/>
  <c r="AJ42" i="2"/>
  <c r="AJ52" i="2"/>
  <c r="AJ66" i="2"/>
  <c r="AJ43" i="2"/>
  <c r="AJ11" i="2"/>
  <c r="AJ21" i="2"/>
  <c r="AJ32" i="2"/>
  <c r="AJ53" i="2"/>
  <c r="AJ4" i="2"/>
  <c r="AJ12" i="2"/>
  <c r="AJ22" i="2"/>
  <c r="AJ34" i="2"/>
  <c r="AJ44" i="2"/>
  <c r="AJ54" i="2"/>
  <c r="AJ6" i="2"/>
  <c r="AJ18" i="2"/>
  <c r="AJ28" i="2"/>
  <c r="AJ38" i="2"/>
  <c r="AJ50" i="2"/>
  <c r="AJ64" i="2"/>
  <c r="AJ8" i="2"/>
  <c r="AJ19" i="2"/>
  <c r="AJ29" i="2"/>
  <c r="AJ40" i="2"/>
  <c r="AJ51" i="2"/>
  <c r="AJ65" i="2"/>
  <c r="AB63" i="2"/>
  <c r="AB6" i="2"/>
  <c r="AB14" i="2"/>
  <c r="AB22" i="2"/>
  <c r="AB30" i="2"/>
  <c r="AB38" i="2"/>
  <c r="AB46" i="2"/>
  <c r="AB54" i="2"/>
  <c r="AB8" i="2"/>
  <c r="AB66" i="2"/>
  <c r="AB5" i="2"/>
  <c r="AB11" i="2"/>
  <c r="AB26" i="2"/>
  <c r="AB39" i="2"/>
  <c r="AB43" i="2"/>
  <c r="AB56" i="2"/>
  <c r="AB64" i="2"/>
  <c r="AB9" i="2"/>
  <c r="AB23" i="2"/>
  <c r="AB27" i="2"/>
  <c r="AB40" i="2"/>
  <c r="AB44" i="2"/>
  <c r="AB58" i="2"/>
  <c r="AB25" i="2"/>
  <c r="AB18" i="2"/>
  <c r="AB67" i="2"/>
  <c r="AG41" i="2"/>
  <c r="AG20" i="2"/>
  <c r="AJ58" i="2"/>
  <c r="AJ27" i="2"/>
  <c r="AI63" i="2"/>
  <c r="AI64" i="2"/>
  <c r="AI65" i="2"/>
  <c r="AI66" i="2"/>
  <c r="AI67" i="2"/>
  <c r="AI10" i="2"/>
  <c r="AI18" i="2"/>
  <c r="AI26" i="2"/>
  <c r="AI34" i="2"/>
  <c r="AI42" i="2"/>
  <c r="AI50" i="2"/>
  <c r="AI12" i="2"/>
  <c r="AI9" i="2"/>
  <c r="AI15" i="2"/>
  <c r="AI28" i="2"/>
  <c r="AI32" i="2"/>
  <c r="AI45" i="2"/>
  <c r="AI49" i="2"/>
  <c r="AI7" i="2"/>
  <c r="AI13" i="2"/>
  <c r="AI16" i="2"/>
  <c r="AI29" i="2"/>
  <c r="AI33" i="2"/>
  <c r="AI46" i="2"/>
  <c r="AA4" i="2"/>
  <c r="AB59" i="2"/>
  <c r="AI57" i="2"/>
  <c r="AD56" i="2"/>
  <c r="AE54" i="2"/>
  <c r="AI52" i="2"/>
  <c r="AB51" i="2"/>
  <c r="AB49" i="2"/>
  <c r="AL45" i="2"/>
  <c r="AA44" i="2"/>
  <c r="AD42" i="2"/>
  <c r="AI40" i="2"/>
  <c r="AI38" i="2"/>
  <c r="AB37" i="2"/>
  <c r="AE35" i="2"/>
  <c r="AE33" i="2"/>
  <c r="AL31" i="2"/>
  <c r="AD30" i="2"/>
  <c r="AD28" i="2"/>
  <c r="AA25" i="2"/>
  <c r="AA23" i="2"/>
  <c r="AE21" i="2"/>
  <c r="AI19" i="2"/>
  <c r="AL17" i="2"/>
  <c r="AB16" i="2"/>
  <c r="AB12" i="2"/>
  <c r="AB10" i="2"/>
  <c r="AD8" i="2"/>
  <c r="AA6" i="2"/>
  <c r="AC53" i="2"/>
  <c r="AC37" i="2"/>
  <c r="AC20" i="2"/>
  <c r="AG40" i="2"/>
  <c r="AG18" i="2"/>
  <c r="AJ56" i="2"/>
  <c r="AJ26" i="2"/>
  <c r="AK55" i="2"/>
  <c r="AK31" i="2"/>
  <c r="AB24" i="2"/>
  <c r="AG9" i="2"/>
  <c r="AA63" i="2"/>
  <c r="AA64" i="2"/>
  <c r="AA5" i="2"/>
  <c r="AA13" i="2"/>
  <c r="AA21" i="2"/>
  <c r="AA29" i="2"/>
  <c r="AA37" i="2"/>
  <c r="AA45" i="2"/>
  <c r="AA53" i="2"/>
  <c r="AA65" i="2"/>
  <c r="AA7" i="2"/>
  <c r="AA15" i="2"/>
  <c r="AA8" i="2"/>
  <c r="AA17" i="2"/>
  <c r="AA30" i="2"/>
  <c r="AA34" i="2"/>
  <c r="AA47" i="2"/>
  <c r="AA51" i="2"/>
  <c r="AA18" i="2"/>
  <c r="AA31" i="2"/>
  <c r="AA35" i="2"/>
  <c r="AA48" i="2"/>
  <c r="AA52" i="2"/>
  <c r="AA57" i="2"/>
  <c r="AE63" i="2"/>
  <c r="AE8" i="2"/>
  <c r="AE16" i="2"/>
  <c r="AE24" i="2"/>
  <c r="AE32" i="2"/>
  <c r="AE40" i="2"/>
  <c r="AE48" i="2"/>
  <c r="AE10" i="2"/>
  <c r="AE64" i="2"/>
  <c r="AE27" i="2"/>
  <c r="AE31" i="2"/>
  <c r="AE44" i="2"/>
  <c r="AE58" i="2"/>
  <c r="AE67" i="2"/>
  <c r="AE15" i="2"/>
  <c r="AE28" i="2"/>
  <c r="AE41" i="2"/>
  <c r="AE45" i="2"/>
  <c r="AB4" i="2"/>
  <c r="AL56" i="2"/>
  <c r="AE55" i="2"/>
  <c r="AB50" i="2"/>
  <c r="AL44" i="2"/>
  <c r="AD43" i="2"/>
  <c r="AD41" i="2"/>
  <c r="AI39" i="2"/>
  <c r="AA38" i="2"/>
  <c r="AB36" i="2"/>
  <c r="AE34" i="2"/>
  <c r="AL32" i="2"/>
  <c r="AL30" i="2"/>
  <c r="AD29" i="2"/>
  <c r="AI25" i="2"/>
  <c r="AA24" i="2"/>
  <c r="AE22" i="2"/>
  <c r="AE20" i="2"/>
  <c r="AB17" i="2"/>
  <c r="AB15" i="2"/>
  <c r="AD13" i="2"/>
  <c r="AD11" i="2"/>
  <c r="AA9" i="2"/>
  <c r="AB7" i="2"/>
  <c r="AD5" i="2"/>
  <c r="AC65" i="2"/>
  <c r="AC45" i="2"/>
  <c r="AC29" i="2"/>
  <c r="AG50" i="2"/>
  <c r="AG30" i="2"/>
  <c r="AG8" i="2"/>
  <c r="AJ37" i="2"/>
  <c r="AJ13" i="2"/>
  <c r="AK42" i="2"/>
  <c r="AK12" i="2"/>
  <c r="AG33" i="2"/>
  <c r="AG12" i="2"/>
  <c r="AJ14" i="2"/>
  <c r="AL63" i="2"/>
  <c r="AL11" i="2"/>
  <c r="AL19" i="2"/>
  <c r="AL27" i="2"/>
  <c r="AL35" i="2"/>
  <c r="AL43" i="2"/>
  <c r="AL51" i="2"/>
  <c r="AL5" i="2"/>
  <c r="AL13" i="2"/>
  <c r="AL20" i="2"/>
  <c r="AL24" i="2"/>
  <c r="AL37" i="2"/>
  <c r="AL41" i="2"/>
  <c r="AL54" i="2"/>
  <c r="AL4" i="2"/>
  <c r="AL65" i="2"/>
  <c r="AL10" i="2"/>
  <c r="AL21" i="2"/>
  <c r="AL25" i="2"/>
  <c r="AL38" i="2"/>
  <c r="AL42" i="2"/>
  <c r="AL55" i="2"/>
  <c r="AE46" i="2"/>
  <c r="AA36" i="2"/>
  <c r="AD27" i="2"/>
  <c r="AL14" i="2"/>
  <c r="AL6" i="2"/>
  <c r="AE65" i="2"/>
  <c r="AG49" i="2"/>
  <c r="AG28" i="2"/>
  <c r="AG7" i="2"/>
  <c r="AJ36" i="2"/>
  <c r="AJ5" i="2"/>
  <c r="AK41" i="2"/>
  <c r="AG55" i="2"/>
  <c r="AB57" i="2"/>
  <c r="AB52" i="2"/>
  <c r="AB45" i="2"/>
  <c r="AB31" i="2"/>
  <c r="AG52" i="2"/>
  <c r="AG31" i="2"/>
  <c r="AJ45" i="2"/>
  <c r="AD63" i="2"/>
  <c r="AD65" i="2"/>
  <c r="AD7" i="2"/>
  <c r="AD15" i="2"/>
  <c r="AD23" i="2"/>
  <c r="AD31" i="2"/>
  <c r="AD39" i="2"/>
  <c r="AD47" i="2"/>
  <c r="AD55" i="2"/>
  <c r="AD66" i="2"/>
  <c r="AD9" i="2"/>
  <c r="AD14" i="2"/>
  <c r="AD18" i="2"/>
  <c r="AD22" i="2"/>
  <c r="AD35" i="2"/>
  <c r="AD48" i="2"/>
  <c r="AD52" i="2"/>
  <c r="AD57" i="2"/>
  <c r="AD6" i="2"/>
  <c r="AD12" i="2"/>
  <c r="AD19" i="2"/>
  <c r="AD32" i="2"/>
  <c r="AD36" i="2"/>
  <c r="AD49" i="2"/>
  <c r="AD53" i="2"/>
  <c r="AD59" i="2"/>
  <c r="AL59" i="2"/>
  <c r="AD58" i="2"/>
  <c r="AB55" i="2"/>
  <c r="AA50" i="2"/>
  <c r="AB48" i="2"/>
  <c r="AA43" i="2"/>
  <c r="AB41" i="2"/>
  <c r="AD34" i="2"/>
  <c r="AB29" i="2"/>
  <c r="AE25" i="2"/>
  <c r="AL23" i="2"/>
  <c r="AA22" i="2"/>
  <c r="AL16" i="2"/>
  <c r="AB13" i="2"/>
  <c r="AA11" i="2"/>
  <c r="AL8" i="2"/>
  <c r="AL67" i="2"/>
  <c r="AK63" i="2"/>
  <c r="AK5" i="2"/>
  <c r="AK13" i="2"/>
  <c r="AK21" i="2"/>
  <c r="AK29" i="2"/>
  <c r="AK37" i="2"/>
  <c r="AK45" i="2"/>
  <c r="AK53" i="2"/>
  <c r="AK65" i="2"/>
  <c r="AK11" i="2"/>
  <c r="AK19" i="2"/>
  <c r="AK27" i="2"/>
  <c r="AK35" i="2"/>
  <c r="AK43" i="2"/>
  <c r="AK51" i="2"/>
  <c r="AK59" i="2"/>
  <c r="AK6" i="2"/>
  <c r="AK16" i="2"/>
  <c r="AK26" i="2"/>
  <c r="AK38" i="2"/>
  <c r="AK48" i="2"/>
  <c r="AK58" i="2"/>
  <c r="AK7" i="2"/>
  <c r="AK17" i="2"/>
  <c r="AK28" i="2"/>
  <c r="AK39" i="2"/>
  <c r="AK49" i="2"/>
  <c r="AK64" i="2"/>
  <c r="AK8" i="2"/>
  <c r="AK18" i="2"/>
  <c r="AK30" i="2"/>
  <c r="AK40" i="2"/>
  <c r="AK50" i="2"/>
  <c r="AK66" i="2"/>
  <c r="AK14" i="2"/>
  <c r="AK24" i="2"/>
  <c r="AK34" i="2"/>
  <c r="AK46" i="2"/>
  <c r="AK56" i="2"/>
  <c r="AK15" i="2"/>
  <c r="AK25" i="2"/>
  <c r="AK36" i="2"/>
  <c r="AK47" i="2"/>
  <c r="AK57" i="2"/>
  <c r="AC63" i="2"/>
  <c r="AC9" i="2"/>
  <c r="AC17" i="2"/>
  <c r="AC25" i="2"/>
  <c r="AC33" i="2"/>
  <c r="AC41" i="2"/>
  <c r="AC49" i="2"/>
  <c r="AC57" i="2"/>
  <c r="AC7" i="2"/>
  <c r="AC15" i="2"/>
  <c r="AC23" i="2"/>
  <c r="AC31" i="2"/>
  <c r="AC39" i="2"/>
  <c r="AC47" i="2"/>
  <c r="AC55" i="2"/>
  <c r="AC67" i="2"/>
  <c r="AC14" i="2"/>
  <c r="AC26" i="2"/>
  <c r="AC36" i="2"/>
  <c r="AC46" i="2"/>
  <c r="AC58" i="2"/>
  <c r="AC6" i="2"/>
  <c r="AC18" i="2"/>
  <c r="AC28" i="2"/>
  <c r="AC38" i="2"/>
  <c r="AC50" i="2"/>
  <c r="AC12" i="2"/>
  <c r="AC22" i="2"/>
  <c r="AC34" i="2"/>
  <c r="AC44" i="2"/>
  <c r="AC54" i="2"/>
  <c r="AI59" i="2"/>
  <c r="AA58" i="2"/>
  <c r="AA55" i="2"/>
  <c r="AB53" i="2"/>
  <c r="AE51" i="2"/>
  <c r="AL49" i="2"/>
  <c r="AL47" i="2"/>
  <c r="AD46" i="2"/>
  <c r="AA41" i="2"/>
  <c r="AE39" i="2"/>
  <c r="AE37" i="2"/>
  <c r="AI35" i="2"/>
  <c r="AB34" i="2"/>
  <c r="AB32" i="2"/>
  <c r="AL28" i="2"/>
  <c r="AA27" i="2"/>
  <c r="AD25" i="2"/>
  <c r="AI23" i="2"/>
  <c r="AI21" i="2"/>
  <c r="AB20" i="2"/>
  <c r="AE18" i="2"/>
  <c r="AI14" i="2"/>
  <c r="AL12" i="2"/>
  <c r="AI8" i="2"/>
  <c r="AI6" i="2"/>
  <c r="AD67" i="2"/>
  <c r="AB65" i="2"/>
  <c r="AC59" i="2"/>
  <c r="AC42" i="2"/>
  <c r="AC24" i="2"/>
  <c r="AC8" i="2"/>
  <c r="AG44" i="2"/>
  <c r="AG23" i="2"/>
  <c r="AJ59" i="2"/>
  <c r="AJ35" i="2"/>
  <c r="AK4" i="2"/>
  <c r="AK33" i="2"/>
  <c r="AK9" i="2"/>
  <c r="AF63" i="2"/>
  <c r="AF5" i="2"/>
  <c r="AF13" i="2"/>
  <c r="AF21" i="2"/>
  <c r="AF29" i="2"/>
  <c r="AF37" i="2"/>
  <c r="AF45" i="2"/>
  <c r="AF53" i="2"/>
  <c r="AF65" i="2"/>
  <c r="AF11" i="2"/>
  <c r="AF19" i="2"/>
  <c r="AF27" i="2"/>
  <c r="AF35" i="2"/>
  <c r="AF43" i="2"/>
  <c r="AF51" i="2"/>
  <c r="AF59" i="2"/>
  <c r="AH4" i="2"/>
  <c r="AH54" i="2"/>
  <c r="AH50" i="2"/>
  <c r="AH37" i="2"/>
  <c r="AH24" i="2"/>
  <c r="AF66" i="2"/>
  <c r="AF50" i="2"/>
  <c r="AF40" i="2"/>
  <c r="AF30" i="2"/>
  <c r="AF18" i="2"/>
  <c r="AF8" i="2"/>
  <c r="AH63" i="2"/>
  <c r="AH66" i="2"/>
  <c r="AH9" i="2"/>
  <c r="AH17" i="2"/>
  <c r="AH25" i="2"/>
  <c r="AH33" i="2"/>
  <c r="AH41" i="2"/>
  <c r="AH49" i="2"/>
  <c r="AH67" i="2"/>
  <c r="AH11" i="2"/>
  <c r="AH59" i="2"/>
  <c r="AH53" i="2"/>
  <c r="AH40" i="2"/>
  <c r="AH36" i="2"/>
  <c r="AH23" i="2"/>
  <c r="AH19" i="2"/>
  <c r="AH12" i="2"/>
  <c r="AH6" i="2"/>
  <c r="AF4" i="2"/>
  <c r="AF54" i="2"/>
  <c r="AF42" i="2"/>
  <c r="AF32" i="2"/>
  <c r="AF22" i="2"/>
  <c r="AF10" i="2"/>
  <c r="AM50" i="3"/>
  <c r="AM24" i="3"/>
  <c r="AM34" i="3"/>
  <c r="AM35" i="3"/>
  <c r="AM43" i="3"/>
  <c r="AM30" i="3"/>
  <c r="AM48" i="3"/>
  <c r="AM33" i="3"/>
  <c r="AM8" i="3"/>
  <c r="AM40" i="3"/>
  <c r="AM41" i="3"/>
  <c r="AM39" i="3"/>
  <c r="AM9" i="3"/>
  <c r="AM46" i="3"/>
  <c r="AM20" i="3"/>
  <c r="AM4" i="3"/>
  <c r="AM36" i="3"/>
  <c r="AM44" i="3"/>
  <c r="AM49" i="3"/>
  <c r="AM7" i="3"/>
  <c r="AM37" i="3"/>
  <c r="AN59" i="3"/>
  <c r="AM28" i="3"/>
  <c r="AM11" i="3"/>
  <c r="AM18" i="3"/>
  <c r="AM12" i="3"/>
  <c r="AM19" i="3"/>
  <c r="AM45" i="3"/>
  <c r="AM53" i="3"/>
  <c r="AM31" i="3"/>
  <c r="AM56" i="3"/>
  <c r="AM5" i="3"/>
  <c r="AM14" i="3"/>
  <c r="AM21" i="3"/>
  <c r="AM29" i="3"/>
  <c r="AM27" i="3"/>
  <c r="AM15" i="3"/>
  <c r="AM26" i="3"/>
  <c r="AM6" i="3"/>
  <c r="AM32" i="3"/>
  <c r="AM47" i="3"/>
  <c r="AM57" i="3"/>
  <c r="AM55" i="3"/>
  <c r="AM52" i="3"/>
  <c r="AM54" i="3"/>
  <c r="AM10" i="3"/>
  <c r="AM25" i="3"/>
  <c r="AN58" i="3"/>
  <c r="AM42" i="3"/>
  <c r="AM13" i="3"/>
  <c r="AM38" i="3"/>
  <c r="AM51" i="3"/>
  <c r="AN8" i="3"/>
  <c r="AN47" i="3"/>
  <c r="AN32" i="3"/>
  <c r="AN10" i="3"/>
  <c r="AN50" i="3"/>
  <c r="AN37" i="3"/>
  <c r="AN29" i="3"/>
  <c r="AN57" i="3"/>
  <c r="AN41" i="3"/>
  <c r="AN40" i="3"/>
  <c r="AN6" i="3"/>
  <c r="AN15" i="3"/>
  <c r="AN53" i="3"/>
  <c r="AN30" i="3"/>
  <c r="AN18" i="3"/>
  <c r="AN25" i="3"/>
  <c r="AN39" i="3"/>
  <c r="AN33" i="3"/>
  <c r="AN34" i="3"/>
  <c r="AN9" i="3"/>
  <c r="AN26" i="3"/>
  <c r="AN7" i="3"/>
  <c r="AN5" i="3"/>
  <c r="AN54" i="3"/>
  <c r="AN46" i="3"/>
  <c r="AN24" i="3"/>
  <c r="AN13" i="3"/>
  <c r="AN42" i="3"/>
  <c r="AN20" i="3"/>
  <c r="AP20" i="3" s="1"/>
  <c r="AN12" i="3"/>
  <c r="AN43" i="3"/>
  <c r="AN4" i="3"/>
  <c r="AN52" i="3"/>
  <c r="AP52" i="3" s="1"/>
  <c r="AN56" i="3"/>
  <c r="AN28" i="3"/>
  <c r="AP28" i="3" s="1"/>
  <c r="AN48" i="3"/>
  <c r="AN49" i="3"/>
  <c r="AN21" i="3"/>
  <c r="AN31" i="3"/>
  <c r="AN45" i="3"/>
  <c r="AN44" i="3"/>
  <c r="AN11" i="3"/>
  <c r="AN55" i="3"/>
  <c r="AN35" i="3"/>
  <c r="AN19" i="3"/>
  <c r="AN14" i="3"/>
  <c r="AN27" i="3"/>
  <c r="AN36" i="3"/>
  <c r="AN51" i="3"/>
  <c r="AN38" i="3"/>
  <c r="AP44" i="3" l="1"/>
  <c r="AP36" i="3"/>
  <c r="AP21" i="3"/>
  <c r="AO21" i="3"/>
  <c r="AO44" i="3"/>
  <c r="AO28" i="3"/>
  <c r="AO20" i="3"/>
  <c r="AO36" i="3"/>
  <c r="AO52" i="3"/>
  <c r="AP29" i="3"/>
  <c r="AO29" i="3"/>
</calcChain>
</file>

<file path=xl/sharedStrings.xml><?xml version="1.0" encoding="utf-8"?>
<sst xmlns="http://schemas.openxmlformats.org/spreadsheetml/2006/main" count="1961" uniqueCount="366">
  <si>
    <t>(g)</t>
  </si>
  <si>
    <t>dry shoot weights</t>
  </si>
  <si>
    <t>box #</t>
  </si>
  <si>
    <t>sample #</t>
  </si>
  <si>
    <t xml:space="preserve">sample id </t>
  </si>
  <si>
    <t>blank</t>
  </si>
  <si>
    <t>standard</t>
  </si>
  <si>
    <t>weight (g)</t>
  </si>
  <si>
    <t>volume (mL)</t>
  </si>
  <si>
    <t>Al 396.152</t>
  </si>
  <si>
    <t>B 249.772</t>
  </si>
  <si>
    <t>Ca 422.673</t>
  </si>
  <si>
    <t>Cu 327.395</t>
  </si>
  <si>
    <t>Fe 238.204</t>
  </si>
  <si>
    <t>K 766.491</t>
  </si>
  <si>
    <t>Mg 285.213</t>
  </si>
  <si>
    <t>Mn 257.610</t>
  </si>
  <si>
    <t>Na 589.592</t>
  </si>
  <si>
    <t>P 213.618</t>
  </si>
  <si>
    <t>S 181.972</t>
  </si>
  <si>
    <t>Zn 213.857</t>
  </si>
  <si>
    <t>Sample</t>
  </si>
  <si>
    <t>ug/mL</t>
  </si>
  <si>
    <t>Vial 1</t>
  </si>
  <si>
    <t>Vial 2</t>
  </si>
  <si>
    <t>Vial 3</t>
  </si>
  <si>
    <t>Vial 4</t>
  </si>
  <si>
    <t>Vial 5</t>
  </si>
  <si>
    <t>Vial 6</t>
  </si>
  <si>
    <t>Vial 7</t>
  </si>
  <si>
    <t>Vial 8</t>
  </si>
  <si>
    <t>Vial 9</t>
  </si>
  <si>
    <t>Vial 10</t>
  </si>
  <si>
    <t>Vial 11</t>
  </si>
  <si>
    <t>Vial 12</t>
  </si>
  <si>
    <t>Vial 13</t>
  </si>
  <si>
    <t>Vial 14</t>
  </si>
  <si>
    <t>Vial 15</t>
  </si>
  <si>
    <t>Vial 16</t>
  </si>
  <si>
    <t>Vial 17</t>
  </si>
  <si>
    <t>Vial 18</t>
  </si>
  <si>
    <t>Vial 19</t>
  </si>
  <si>
    <t>Vial 20</t>
  </si>
  <si>
    <t>Vial 21</t>
  </si>
  <si>
    <t>Vial 22</t>
  </si>
  <si>
    <t>Vial 23</t>
  </si>
  <si>
    <t>Vial 24</t>
  </si>
  <si>
    <t>Vial 25</t>
  </si>
  <si>
    <t>Vial 26</t>
  </si>
  <si>
    <t>Vial 27</t>
  </si>
  <si>
    <t>Vial 28</t>
  </si>
  <si>
    <t>Vial 29</t>
  </si>
  <si>
    <t>Vial 30</t>
  </si>
  <si>
    <t>Vial 31</t>
  </si>
  <si>
    <t>Vial 32</t>
  </si>
  <si>
    <t>Vial 33</t>
  </si>
  <si>
    <t>Vial 34</t>
  </si>
  <si>
    <t>Vial 35</t>
  </si>
  <si>
    <t>Vial 36</t>
  </si>
  <si>
    <t>Vial 37</t>
  </si>
  <si>
    <t>Vial 38</t>
  </si>
  <si>
    <t>Vial 39</t>
  </si>
  <si>
    <t>Vial 40</t>
  </si>
  <si>
    <t>Vial 41</t>
  </si>
  <si>
    <t>Vial 42</t>
  </si>
  <si>
    <t>Vial 43</t>
  </si>
  <si>
    <t>Vial 44</t>
  </si>
  <si>
    <t>Vial 45</t>
  </si>
  <si>
    <t>Vial 46</t>
  </si>
  <si>
    <t>Vial 47</t>
  </si>
  <si>
    <t>Vial 48</t>
  </si>
  <si>
    <t>Vial 49</t>
  </si>
  <si>
    <t>Vial 50</t>
  </si>
  <si>
    <t>Vial 51</t>
  </si>
  <si>
    <t>Vial 52</t>
  </si>
  <si>
    <t>Vial 53</t>
  </si>
  <si>
    <t>Vial 54</t>
  </si>
  <si>
    <t>Vial 55</t>
  </si>
  <si>
    <t>Vial 56</t>
  </si>
  <si>
    <t>Vial 57</t>
  </si>
  <si>
    <t>Vial 58</t>
  </si>
  <si>
    <t>Vial 59</t>
  </si>
  <si>
    <t>Vial 60</t>
  </si>
  <si>
    <t>Vial 61</t>
  </si>
  <si>
    <t>Vial 62</t>
  </si>
  <si>
    <t>Vial 63</t>
  </si>
  <si>
    <t>Vial 64</t>
  </si>
  <si>
    <t>Vial 65</t>
  </si>
  <si>
    <t>Vial 66</t>
  </si>
  <si>
    <t>mean blank</t>
  </si>
  <si>
    <t>Al</t>
  </si>
  <si>
    <t>B</t>
  </si>
  <si>
    <t>Ca</t>
  </si>
  <si>
    <t>Cu</t>
  </si>
  <si>
    <t>Fe</t>
  </si>
  <si>
    <t>K</t>
  </si>
  <si>
    <t>Mg</t>
  </si>
  <si>
    <t>Mn</t>
  </si>
  <si>
    <t>Na</t>
  </si>
  <si>
    <t>P</t>
  </si>
  <si>
    <t>S</t>
  </si>
  <si>
    <t>Zn</t>
  </si>
  <si>
    <t>%</t>
  </si>
  <si>
    <t>ug/g</t>
  </si>
  <si>
    <t>average values fron Fannys test run in teflon tubes</t>
  </si>
  <si>
    <t>PLOT NO</t>
  </si>
  <si>
    <t xml:space="preserve">TREATMENT </t>
  </si>
  <si>
    <t>Rep</t>
  </si>
  <si>
    <t>Treatment</t>
  </si>
  <si>
    <t>Crop</t>
  </si>
  <si>
    <t>emerg date</t>
  </si>
  <si>
    <t xml:space="preserve"> 21/06/2016</t>
  </si>
  <si>
    <t>27/62016</t>
  </si>
  <si>
    <t>Net</t>
  </si>
  <si>
    <t>BEAN INO P33</t>
  </si>
  <si>
    <t>INO</t>
  </si>
  <si>
    <t>SORG N P32</t>
  </si>
  <si>
    <t>N</t>
  </si>
  <si>
    <t>BEAN N P33</t>
  </si>
  <si>
    <t>BEAN N P32</t>
  </si>
  <si>
    <t>BEAN INO P32</t>
  </si>
  <si>
    <t xml:space="preserve"> SORG 1 N P32 </t>
  </si>
  <si>
    <t xml:space="preserve"> SORG 2 N P32</t>
  </si>
  <si>
    <t>BEAN 1 INO P32</t>
  </si>
  <si>
    <t>BEAN 2 INO P32</t>
  </si>
  <si>
    <t>BEAN 1 N P32</t>
  </si>
  <si>
    <t>BEAN 2 N P32</t>
  </si>
  <si>
    <r>
      <rPr>
        <sz val="11"/>
        <color rgb="FFC00000"/>
        <rFont val="Calibri"/>
        <family val="2"/>
        <scheme val="minor"/>
      </rPr>
      <t>BEAN</t>
    </r>
    <r>
      <rPr>
        <sz val="10"/>
        <color theme="1"/>
        <rFont val="Arial"/>
        <family val="2"/>
      </rPr>
      <t xml:space="preserve"> INO</t>
    </r>
    <r>
      <rPr>
        <sz val="11"/>
        <rFont val="Calibri"/>
        <family val="2"/>
        <scheme val="minor"/>
      </rPr>
      <t xml:space="preserve"> P33</t>
    </r>
    <r>
      <rPr>
        <sz val="11"/>
        <color rgb="FFFF0000"/>
        <rFont val="Calibri"/>
        <family val="2"/>
        <scheme val="minor"/>
      </rPr>
      <t xml:space="preserve"> = p32</t>
    </r>
  </si>
  <si>
    <r>
      <t>SORG N P32 =</t>
    </r>
    <r>
      <rPr>
        <sz val="11"/>
        <color rgb="FFC00000"/>
        <rFont val="Calibri"/>
        <family val="2"/>
        <scheme val="minor"/>
      </rPr>
      <t xml:space="preserve"> p33</t>
    </r>
  </si>
  <si>
    <r>
      <rPr>
        <sz val="11"/>
        <rFont val="Calibri"/>
        <family val="2"/>
        <scheme val="minor"/>
      </rPr>
      <t xml:space="preserve">BEAN </t>
    </r>
    <r>
      <rPr>
        <sz val="10"/>
        <color theme="1"/>
        <rFont val="Arial"/>
        <family val="2"/>
      </rPr>
      <t>N P33 =</t>
    </r>
    <r>
      <rPr>
        <sz val="11"/>
        <color rgb="FFC00000"/>
        <rFont val="Calibri"/>
        <family val="2"/>
        <scheme val="minor"/>
      </rPr>
      <t xml:space="preserve"> p32</t>
    </r>
  </si>
  <si>
    <r>
      <t xml:space="preserve">SORG N P32 = </t>
    </r>
    <r>
      <rPr>
        <sz val="11"/>
        <color rgb="FFC00000"/>
        <rFont val="Calibri"/>
        <family val="2"/>
        <scheme val="minor"/>
      </rPr>
      <t>p33</t>
    </r>
  </si>
  <si>
    <r>
      <t>BEAN N P32=</t>
    </r>
    <r>
      <rPr>
        <sz val="11"/>
        <color rgb="FFC00000"/>
        <rFont val="Calibri"/>
        <family val="2"/>
        <scheme val="minor"/>
      </rPr>
      <t xml:space="preserve"> p33</t>
    </r>
  </si>
  <si>
    <r>
      <t xml:space="preserve">SORG N P32= </t>
    </r>
    <r>
      <rPr>
        <sz val="11"/>
        <color rgb="FFC00000"/>
        <rFont val="Calibri"/>
        <family val="2"/>
        <scheme val="minor"/>
      </rPr>
      <t>p33</t>
    </r>
  </si>
  <si>
    <r>
      <t>BEAN 1 N P32=</t>
    </r>
    <r>
      <rPr>
        <sz val="11"/>
        <color rgb="FFC00000"/>
        <rFont val="Calibri"/>
        <family val="2"/>
        <scheme val="minor"/>
      </rPr>
      <t>p33</t>
    </r>
  </si>
  <si>
    <r>
      <t>BEAN 2 N P32=</t>
    </r>
    <r>
      <rPr>
        <sz val="11"/>
        <color rgb="FFC00000"/>
        <rFont val="Calibri"/>
        <family val="2"/>
        <scheme val="minor"/>
      </rPr>
      <t>p33</t>
    </r>
  </si>
  <si>
    <t>%P</t>
  </si>
  <si>
    <t>%S</t>
  </si>
  <si>
    <t>%Ca</t>
  </si>
  <si>
    <r>
      <rPr>
        <sz val="10"/>
        <color rgb="FFFF0000"/>
        <rFont val="Arial"/>
        <family val="2"/>
      </rPr>
      <t>SORG</t>
    </r>
    <r>
      <rPr>
        <sz val="10"/>
        <color theme="1"/>
        <rFont val="Arial"/>
        <family val="2"/>
      </rPr>
      <t xml:space="preserve"> N P32</t>
    </r>
  </si>
  <si>
    <r>
      <rPr>
        <sz val="10"/>
        <color rgb="FFFF0000"/>
        <rFont val="Arial"/>
        <family val="2"/>
      </rPr>
      <t>BEAN</t>
    </r>
    <r>
      <rPr>
        <sz val="10"/>
        <color theme="1"/>
        <rFont val="Arial"/>
        <family val="2"/>
      </rPr>
      <t xml:space="preserve"> N P32</t>
    </r>
  </si>
  <si>
    <t>Mean last 5 counts</t>
  </si>
  <si>
    <t>Net BG=24</t>
  </si>
  <si>
    <t>T</t>
  </si>
  <si>
    <t>Order</t>
  </si>
  <si>
    <t>P++I58+A2:O29+A2:A2:O48</t>
  </si>
  <si>
    <t>P cont</t>
  </si>
  <si>
    <t>*</t>
  </si>
  <si>
    <t>S cont</t>
  </si>
  <si>
    <t>g+V62</t>
  </si>
  <si>
    <t>g reord</t>
  </si>
  <si>
    <t>S#</t>
  </si>
  <si>
    <t>Count Time</t>
  </si>
  <si>
    <t>CPMA</t>
  </si>
  <si>
    <t>CPMB</t>
  </si>
  <si>
    <t>DPM1</t>
  </si>
  <si>
    <t>DPM2</t>
  </si>
  <si>
    <t>SIS</t>
  </si>
  <si>
    <t>Cycle 1 Results</t>
  </si>
  <si>
    <t>33P</t>
  </si>
  <si>
    <t>32P</t>
  </si>
  <si>
    <t xml:space="preserve">tSIE  </t>
  </si>
  <si>
    <t>TIME</t>
  </si>
  <si>
    <t>PM</t>
  </si>
  <si>
    <r>
      <t xml:space="preserve">BEAN INO </t>
    </r>
    <r>
      <rPr>
        <sz val="10"/>
        <color rgb="FFFF0000"/>
        <rFont val="Arial"/>
        <family val="2"/>
      </rPr>
      <t>P33</t>
    </r>
  </si>
  <si>
    <r>
      <t>BEAN N</t>
    </r>
    <r>
      <rPr>
        <sz val="10"/>
        <color rgb="FFFF0000"/>
        <rFont val="Arial"/>
        <family val="2"/>
      </rPr>
      <t xml:space="preserve"> P33</t>
    </r>
  </si>
  <si>
    <r>
      <t xml:space="preserve">BEAN N </t>
    </r>
    <r>
      <rPr>
        <sz val="10"/>
        <color rgb="FFFF0000"/>
        <rFont val="Arial"/>
        <family val="2"/>
      </rPr>
      <t>P33</t>
    </r>
  </si>
  <si>
    <r>
      <t>BEAN INO</t>
    </r>
    <r>
      <rPr>
        <sz val="10"/>
        <color rgb="FFFF0000"/>
        <rFont val="Arial"/>
        <family val="2"/>
      </rPr>
      <t xml:space="preserve"> P33</t>
    </r>
  </si>
  <si>
    <t>Reversed</t>
  </si>
  <si>
    <t>Mortatha root box experiment</t>
  </si>
  <si>
    <r>
      <t>The sorghum plant population was 150000 plans/ha</t>
    </r>
    <r>
      <rPr>
        <vertAlign val="superscript"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and for soybean was 320000 plants/ha for the sole crop, </t>
    </r>
  </si>
  <si>
    <t xml:space="preserve">and half of this population in double alternate rows was applied for the both crops in the mixed plot. </t>
  </si>
  <si>
    <t>Basal P application on Sorghum population</t>
  </si>
  <si>
    <t>Basal N application</t>
  </si>
  <si>
    <t>kg P/ha</t>
  </si>
  <si>
    <t>kg N/ha</t>
  </si>
  <si>
    <t>plants/ha</t>
  </si>
  <si>
    <t>mL/injection</t>
  </si>
  <si>
    <t>g N/ plant</t>
  </si>
  <si>
    <t>MBq/injection</t>
  </si>
  <si>
    <t>g N/L</t>
  </si>
  <si>
    <t>g urea/L</t>
  </si>
  <si>
    <t>g P/plant</t>
  </si>
  <si>
    <t>mL/plant at emergence</t>
  </si>
  <si>
    <t>g P/10 mL</t>
  </si>
  <si>
    <t>2 injections/box</t>
  </si>
  <si>
    <t>g KH2PO4</t>
  </si>
  <si>
    <t>/10 mL</t>
  </si>
  <si>
    <t>N application to Sorghum</t>
  </si>
  <si>
    <t>40 kg/ha at first sign of lower leaf yellowing</t>
  </si>
  <si>
    <t>g N/plant</t>
  </si>
  <si>
    <t>1.45 g urea/L</t>
  </si>
  <si>
    <t>40 mL/plant</t>
  </si>
  <si>
    <t>Trt</t>
  </si>
  <si>
    <t>Isotope</t>
  </si>
  <si>
    <t># boxes</t>
  </si>
  <si>
    <t>32P soln/hole</t>
  </si>
  <si>
    <t>33P soln/hole</t>
  </si>
  <si>
    <t>32P holes/box</t>
  </si>
  <si>
    <t>33P holes/box</t>
  </si>
  <si>
    <t>32P mL/box</t>
  </si>
  <si>
    <t>33P mL/box</t>
  </si>
  <si>
    <t>Bean</t>
  </si>
  <si>
    <t>Inoc</t>
  </si>
  <si>
    <t>Sorg</t>
  </si>
  <si>
    <t xml:space="preserve">Bean </t>
  </si>
  <si>
    <t>TOTALS</t>
  </si>
  <si>
    <t>4 reps</t>
  </si>
  <si>
    <t>Make up</t>
  </si>
  <si>
    <t>mL</t>
  </si>
  <si>
    <t>Need KH2PO4</t>
  </si>
  <si>
    <t>g</t>
  </si>
  <si>
    <t>Add isotope</t>
  </si>
  <si>
    <t>MBq</t>
  </si>
  <si>
    <t>g P/640 mL</t>
  </si>
  <si>
    <t>MBq/g P</t>
  </si>
  <si>
    <t>g P/200 mL</t>
  </si>
  <si>
    <t>Assay Definition</t>
  </si>
  <si>
    <t>Assay Description:</t>
  </si>
  <si>
    <t xml:space="preserve">Dual 32P/33P in 0-14% HNO3 Plant Ultrawave Digestions </t>
  </si>
  <si>
    <t>Assay Type: DPM (Dual)</t>
  </si>
  <si>
    <t>Report Name: Report1</t>
  </si>
  <si>
    <t>Output Data Path: C:\Packard\Tricarb\Results\32P-33P\32P33PQuench\20160830_1459</t>
  </si>
  <si>
    <t>Raw Results Path: C:\Packard\Tricarb\Results\32P-33P\32P33PQuench\20160830_1459\20160830_1459.results</t>
  </si>
  <si>
    <t>RTF File Name: C:\Packard\Tricarb\Results\32P-33P\32P33PQuench\20160830_1459\Report1.rtf</t>
  </si>
  <si>
    <t>Assay File Name: C:\Packard\TriCarb\Assays\32P33PQuench.lsa</t>
  </si>
  <si>
    <t>Count Conditions</t>
  </si>
  <si>
    <t xml:space="preserve">Nuclide: 32P-33P              </t>
  </si>
  <si>
    <t xml:space="preserve">   Quench Indicator: tSIE/AEC</t>
  </si>
  <si>
    <t xml:space="preserve">   External Std Terminator (sec): 0.5 2s%</t>
  </si>
  <si>
    <t xml:space="preserve">   Pre-Count Delay (min): 0.00</t>
  </si>
  <si>
    <t xml:space="preserve">Quench Sets:                  </t>
  </si>
  <si>
    <t xml:space="preserve">   Low Energy: 33P</t>
  </si>
  <si>
    <t xml:space="preserve">   Mid Energy: 32P</t>
  </si>
  <si>
    <t>Count Time (min): 1.00</t>
  </si>
  <si>
    <t xml:space="preserve">Count Mode: Normal                                          </t>
  </si>
  <si>
    <t xml:space="preserve">Assay Count Cycles: 1         Repeat Sample Count: 1        </t>
  </si>
  <si>
    <t xml:space="preserve">#Vials/Sample: 1              Calculate % Reference: Off    </t>
  </si>
  <si>
    <t>Background Subtract</t>
  </si>
  <si>
    <t>Background Subtract: Off</t>
  </si>
  <si>
    <t>Low CPM Threshold: Off</t>
  </si>
  <si>
    <t>2 Sigma % Terminator: On - Any Region</t>
  </si>
  <si>
    <t>Regions         LL       UL  2Sigma % Terminator</t>
  </si>
  <si>
    <t>A              0.0    156.0                 0.00</t>
  </si>
  <si>
    <t>B            156.0    250.0                 0.00</t>
  </si>
  <si>
    <t>C              0.0      0.0                 0.00</t>
  </si>
  <si>
    <t>Count Corrections</t>
  </si>
  <si>
    <t xml:space="preserve">Static Controller: On         Luminescence Correction: n/a  </t>
  </si>
  <si>
    <t xml:space="preserve">Colored Samples: On           Heterogeneity Monitor: n/a    </t>
  </si>
  <si>
    <t xml:space="preserve">Coincidence Time (nsec): 18   Delay Before Burst (nsec): 75 </t>
  </si>
  <si>
    <t>100uL 33P:2.7mL DH2O:200uL HNO3</t>
  </si>
  <si>
    <t>1mL 33P:1.8mL DH2O:200uL HNO3</t>
  </si>
  <si>
    <t>2mL 33P:0.8mL DH2O:200uL HNO3</t>
  </si>
  <si>
    <t>activity of this 33P</t>
  </si>
  <si>
    <t>31.55mBq 20th may 2016</t>
  </si>
  <si>
    <t xml:space="preserve">Rabbi gave you </t>
  </si>
  <si>
    <r>
      <t>·</t>
    </r>
    <r>
      <rPr>
        <sz val="7"/>
        <color rgb="FF1F497D"/>
        <rFont val="Times New Roman"/>
        <family val="1"/>
      </rPr>
      <t xml:space="preserve">         </t>
    </r>
    <r>
      <rPr>
        <sz val="11"/>
        <color rgb="FF1F497D"/>
        <rFont val="Calibri"/>
        <family val="2"/>
      </rPr>
      <t>5mL 33P – activity calculated to be 22.40MBq 20 May 2016</t>
    </r>
  </si>
  <si>
    <r>
      <t>·</t>
    </r>
    <r>
      <rPr>
        <sz val="7"/>
        <color rgb="FF1F497D"/>
        <rFont val="Times New Roman"/>
        <family val="1"/>
      </rPr>
      <t xml:space="preserve">         </t>
    </r>
    <r>
      <rPr>
        <sz val="11"/>
        <color rgb="FF1F497D"/>
        <rFont val="Calibri"/>
        <family val="2"/>
      </rPr>
      <t>10mL 32P – activity calculated to be 33.58MBq 20 May 2016</t>
    </r>
  </si>
  <si>
    <t>?</t>
  </si>
  <si>
    <r>
      <rPr>
        <sz val="10"/>
        <color rgb="FFFF0000"/>
        <rFont val="Arial"/>
        <family val="2"/>
      </rPr>
      <t>SORGHUM</t>
    </r>
    <r>
      <rPr>
        <sz val="10"/>
        <color theme="1"/>
        <rFont val="Arial"/>
        <family val="2"/>
      </rPr>
      <t xml:space="preserve"> 2 N </t>
    </r>
    <r>
      <rPr>
        <sz val="10"/>
        <color rgb="FFFF0000"/>
        <rFont val="Arial"/>
        <family val="2"/>
      </rPr>
      <t>P</t>
    </r>
    <r>
      <rPr>
        <sz val="11"/>
        <color rgb="FFFF0000"/>
        <rFont val="Calibri"/>
        <family val="2"/>
        <scheme val="minor"/>
      </rPr>
      <t>33</t>
    </r>
  </si>
  <si>
    <r>
      <t xml:space="preserve">BEAN 1 N </t>
    </r>
    <r>
      <rPr>
        <sz val="10"/>
        <color rgb="FFFF0000"/>
        <rFont val="Arial"/>
        <family val="2"/>
      </rPr>
      <t>P</t>
    </r>
    <r>
      <rPr>
        <sz val="11"/>
        <color rgb="FFFF0000"/>
        <rFont val="Calibri"/>
        <family val="2"/>
        <scheme val="minor"/>
      </rPr>
      <t>33</t>
    </r>
  </si>
  <si>
    <r>
      <rPr>
        <sz val="11"/>
        <color rgb="FFC00000"/>
        <rFont val="Calibri"/>
        <family val="2"/>
        <scheme val="minor"/>
      </rPr>
      <t>BEAN</t>
    </r>
    <r>
      <rPr>
        <sz val="10"/>
        <color theme="1"/>
        <rFont val="Arial"/>
        <family val="2"/>
      </rPr>
      <t xml:space="preserve"> INO</t>
    </r>
    <r>
      <rPr>
        <sz val="11"/>
        <rFont val="Calibri"/>
        <family val="2"/>
        <scheme val="minor"/>
      </rPr>
      <t xml:space="preserve"> P</t>
    </r>
    <r>
      <rPr>
        <sz val="11"/>
        <color rgb="FFFF0000"/>
        <rFont val="Calibri"/>
        <family val="2"/>
        <scheme val="minor"/>
      </rPr>
      <t>32</t>
    </r>
  </si>
  <si>
    <r>
      <t>SORG N P</t>
    </r>
    <r>
      <rPr>
        <sz val="11"/>
        <color rgb="FFC00000"/>
        <rFont val="Calibri"/>
        <family val="2"/>
        <scheme val="minor"/>
      </rPr>
      <t>33</t>
    </r>
  </si>
  <si>
    <r>
      <rPr>
        <sz val="11"/>
        <rFont val="Calibri"/>
        <family val="2"/>
        <scheme val="minor"/>
      </rPr>
      <t xml:space="preserve">BEAN </t>
    </r>
    <r>
      <rPr>
        <sz val="10"/>
        <color theme="1"/>
        <rFont val="Arial"/>
        <family val="2"/>
      </rPr>
      <t xml:space="preserve">N P33 </t>
    </r>
  </si>
  <si>
    <t>100uL 32P:2.7mL DH2O:200uL HNO3</t>
  </si>
  <si>
    <t>1mL 32P:1.8mL DH2O:200uL HNO3</t>
  </si>
  <si>
    <t>2mL 32P:0.8mL DH2O:200uL HNO3</t>
  </si>
  <si>
    <t>activity of this 32P</t>
  </si>
  <si>
    <t>46.8mBq 20th may 2016</t>
  </si>
  <si>
    <t>mL soln</t>
  </si>
  <si>
    <t>DPM/mL</t>
  </si>
  <si>
    <t>Bq/mL</t>
  </si>
  <si>
    <t>MBq/mL</t>
  </si>
  <si>
    <t>log N0/Nt</t>
  </si>
  <si>
    <t>decay1/2 life</t>
  </si>
  <si>
    <t>at t0</t>
  </si>
  <si>
    <t>Output Data Path: C:\Packard\Tricarb\Results\32P-33P\32P33PQuench\20160722_1326</t>
  </si>
  <si>
    <t>Raw Results Path: C:\Packard\Tricarb\Results\32P-33P\32P33PQuench\20160722_1326\20160722_1326.results</t>
  </si>
  <si>
    <t>RTF File Name: C:\Packard\Tricarb\Results\32P-33P\32P33PQuench\20160722_1326\Report1.rtf</t>
  </si>
  <si>
    <t>Count Time (min): 5.00</t>
  </si>
  <si>
    <t>MESSAGES</t>
  </si>
  <si>
    <t>WARNING: instrument not normalized</t>
  </si>
  <si>
    <t>*****</t>
  </si>
  <si>
    <t xml:space="preserve">33P 1mL </t>
  </si>
  <si>
    <t>sample 1</t>
  </si>
  <si>
    <t>mortartha's 33P</t>
  </si>
  <si>
    <t xml:space="preserve">33P 100µL </t>
  </si>
  <si>
    <t xml:space="preserve">sample 2 </t>
  </si>
  <si>
    <t xml:space="preserve">same sample different </t>
  </si>
  <si>
    <t>33P 1mL</t>
  </si>
  <si>
    <t>volume</t>
  </si>
  <si>
    <t>33P 2mL</t>
  </si>
  <si>
    <t>rabbi 33P</t>
  </si>
  <si>
    <t xml:space="preserve">32P 100µL </t>
  </si>
  <si>
    <t>sample 3</t>
  </si>
  <si>
    <t>32P 1mL</t>
  </si>
  <si>
    <t>32P 2mL</t>
  </si>
  <si>
    <t>rabbi 32P</t>
  </si>
  <si>
    <t xml:space="preserve">sample 4 </t>
  </si>
  <si>
    <t>E</t>
  </si>
  <si>
    <t>sample 4</t>
  </si>
  <si>
    <t>mortartha's 32P</t>
  </si>
  <si>
    <t>Mortatha solutions counted about 15/7/16 (56d)</t>
  </si>
  <si>
    <t>DPM/1 mL</t>
  </si>
  <si>
    <t>decay</t>
  </si>
  <si>
    <t>Bq/mL t0</t>
  </si>
  <si>
    <t>10 mL isotope/320 mL</t>
  </si>
  <si>
    <t>added to mL</t>
  </si>
  <si>
    <t>mgP/mL</t>
  </si>
  <si>
    <t>Bq/mgP</t>
  </si>
  <si>
    <t>5 mL isotope/200 mL</t>
  </si>
  <si>
    <t>From Graeme lsc data</t>
  </si>
  <si>
    <t>MBq/mL at t0</t>
  </si>
  <si>
    <t>DPM/mL on 15/7/16</t>
  </si>
  <si>
    <t>Bq/mL at t0</t>
  </si>
  <si>
    <t>Additions to soln added to pots May19 diary</t>
  </si>
  <si>
    <t>167 MBq 32P in 50 mL</t>
  </si>
  <si>
    <t xml:space="preserve">223.94 MBq in 50 mL </t>
  </si>
  <si>
    <t>5 mL added to 200 mL</t>
  </si>
  <si>
    <t>MBq added</t>
  </si>
  <si>
    <t>20 mL added to 640 mL</t>
  </si>
  <si>
    <t>mgP/mL added</t>
  </si>
  <si>
    <t>Bq 32P/ 3 mL at to</t>
  </si>
  <si>
    <t>Bq 33P/ 3 mL at to</t>
  </si>
  <si>
    <t>mg/mL</t>
  </si>
  <si>
    <t>mg DM /mL</t>
  </si>
  <si>
    <t>mgP/3mL</t>
  </si>
  <si>
    <t>Bq 33P/ mgP</t>
  </si>
  <si>
    <t>Bq 32P/ mgP</t>
  </si>
  <si>
    <t>% fert33 P in digest</t>
  </si>
  <si>
    <t>% fert32 P in digest</t>
  </si>
  <si>
    <t>c</t>
  </si>
  <si>
    <t>Blue calc using dpm data without BG correction</t>
  </si>
  <si>
    <t>under seed</t>
  </si>
  <si>
    <t>between</t>
  </si>
  <si>
    <t>Sorghum</t>
  </si>
  <si>
    <t>Bean Inoc</t>
  </si>
  <si>
    <t>Bean N</t>
  </si>
  <si>
    <t>Under seed</t>
  </si>
  <si>
    <t>Between seed</t>
  </si>
  <si>
    <t>% Pd32f</t>
  </si>
  <si>
    <t>% Pd33f</t>
  </si>
  <si>
    <t>Av</t>
  </si>
  <si>
    <t>Bean  N</t>
  </si>
  <si>
    <t>BI/S*100</t>
  </si>
  <si>
    <t>BN/S*100</t>
  </si>
  <si>
    <t>Trt#</t>
  </si>
  <si>
    <t>Duration</t>
  </si>
  <si>
    <t>Weight of total box</t>
  </si>
  <si>
    <t>Water weight</t>
  </si>
  <si>
    <t>Mixed</t>
  </si>
  <si>
    <t>Week 6</t>
  </si>
  <si>
    <t>Soybean</t>
  </si>
  <si>
    <t>Week 7</t>
  </si>
  <si>
    <t>Week 8</t>
  </si>
  <si>
    <t>Week 9</t>
  </si>
  <si>
    <t>N source</t>
  </si>
  <si>
    <t>P content</t>
  </si>
  <si>
    <t>PF%</t>
  </si>
  <si>
    <t>FP</t>
  </si>
  <si>
    <t>Inoculation</t>
  </si>
  <si>
    <t>Mixed sorghum</t>
  </si>
  <si>
    <t>Mixed sorghumU</t>
  </si>
  <si>
    <t>Mixed Soybean</t>
  </si>
  <si>
    <t>Mixed SoybeanU</t>
  </si>
  <si>
    <t>Sole Soybean</t>
  </si>
  <si>
    <t>Sole Sorghum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</si>
</sst>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00"/>
    <numFmt numFmtId="165" formatCode="0.0"/>
    <numFmt numFmtId="166" formatCode="0.000"/>
    <numFmt numFmtId="167" formatCode="0.00000"/>
  </numFmts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1"/>
      <color rgb="FF1F497D"/>
      <name val="Calibri"/>
      <family val="2"/>
    </font>
    <font>
      <sz val="11"/>
      <color rgb="FF1F497D"/>
      <name val="Symbol"/>
      <family val="1"/>
      <charset val="2"/>
    </font>
    <font>
      <sz val="7"/>
      <color rgb="FF1F497D"/>
      <name val="Times New Roman"/>
      <family val="1"/>
    </font>
    <font>
      <sz val="10"/>
      <color rgb="FF00B050"/>
      <name val="Arial"/>
      <family val="2"/>
    </font>
    <font>
      <sz val="10"/>
      <color rgb="FF00B0F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43" fontId="3" fillId="0" borderId="0" xfId="0" applyNumberFormat="1" applyFont="1"/>
    <xf numFmtId="0" fontId="0" fillId="0" borderId="0" xfId="0" applyFill="1" applyAlignment="1">
      <alignment vertical="top"/>
    </xf>
    <xf numFmtId="2" fontId="1" fillId="0" borderId="0" xfId="0" applyNumberFormat="1" applyFont="1" applyFill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1" fontId="0" fillId="0" borderId="0" xfId="0" applyNumberFormat="1" applyAlignment="1">
      <alignment horizontal="center"/>
    </xf>
    <xf numFmtId="16" fontId="0" fillId="0" borderId="0" xfId="0" applyNumberFormat="1"/>
    <xf numFmtId="165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6" fontId="0" fillId="0" borderId="0" xfId="0" applyNumberFormat="1" applyBorder="1"/>
    <xf numFmtId="165" fontId="0" fillId="0" borderId="0" xfId="0" applyNumberFormat="1" applyBorder="1"/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" fontId="4" fillId="0" borderId="0" xfId="0" applyNumberFormat="1" applyFont="1" applyAlignment="1">
      <alignment horizontal="center" vertical="center"/>
    </xf>
    <xf numFmtId="0" fontId="8" fillId="0" borderId="0" xfId="0" applyFont="1"/>
    <xf numFmtId="0" fontId="10" fillId="0" borderId="0" xfId="0" applyFont="1"/>
    <xf numFmtId="166" fontId="0" fillId="0" borderId="0" xfId="0" applyNumberFormat="1" applyAlignment="1">
      <alignment horizontal="center"/>
    </xf>
    <xf numFmtId="166" fontId="0" fillId="0" borderId="0" xfId="0" applyNumberFormat="1"/>
    <xf numFmtId="2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1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 indent="4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0" fillId="0" borderId="0" xfId="0" applyNumberFormat="1"/>
    <xf numFmtId="1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2" fontId="4" fillId="0" borderId="0" xfId="0" applyNumberFormat="1" applyFont="1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167" fontId="0" fillId="0" borderId="0" xfId="0" applyNumberFormat="1" applyAlignment="1">
      <alignment horizontal="center"/>
    </xf>
    <xf numFmtId="0" fontId="0" fillId="2" borderId="0" xfId="0" applyFill="1"/>
    <xf numFmtId="21" fontId="0" fillId="0" borderId="0" xfId="0" applyNumberFormat="1"/>
    <xf numFmtId="0" fontId="15" fillId="0" borderId="0" xfId="0" applyFont="1"/>
    <xf numFmtId="0" fontId="4" fillId="3" borderId="0" xfId="0" applyFont="1" applyFill="1"/>
    <xf numFmtId="0" fontId="4" fillId="4" borderId="0" xfId="0" applyFont="1" applyFill="1"/>
    <xf numFmtId="0" fontId="4" fillId="5" borderId="0" xfId="0" applyFont="1" applyFill="1"/>
    <xf numFmtId="0" fontId="0" fillId="0" borderId="0" xfId="0" applyAlignment="1">
      <alignment wrapText="1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16" fillId="0" borderId="0" xfId="0" applyFont="1"/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165" fontId="16" fillId="0" borderId="0" xfId="0" applyNumberFormat="1" applyFont="1" applyAlignment="1">
      <alignment horizontal="center"/>
    </xf>
    <xf numFmtId="166" fontId="16" fillId="0" borderId="0" xfId="0" applyNumberFormat="1" applyFont="1" applyAlignment="1">
      <alignment horizontal="center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1" fontId="0" fillId="0" borderId="0" xfId="0" applyNumberForma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16" fillId="0" borderId="1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4" fillId="0" borderId="0" xfId="0" applyNumberFormat="1" applyFont="1"/>
    <xf numFmtId="0" fontId="1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165" fontId="1" fillId="0" borderId="0" xfId="0" applyNumberFormat="1" applyFont="1"/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/>
    <xf numFmtId="0" fontId="11" fillId="0" borderId="1" xfId="0" applyFont="1" applyBorder="1"/>
    <xf numFmtId="2" fontId="11" fillId="0" borderId="1" xfId="0" applyNumberFormat="1" applyFont="1" applyBorder="1" applyAlignment="1">
      <alignment horizontal="center"/>
    </xf>
    <xf numFmtId="0" fontId="1" fillId="0" borderId="0" xfId="0" applyFont="1" applyAlignment="1"/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topLeftCell="A4" workbookViewId="0">
      <selection activeCell="L47" sqref="L47:L48"/>
    </sheetView>
  </sheetViews>
  <sheetFormatPr defaultRowHeight="12.75" x14ac:dyDescent="0.2"/>
  <cols>
    <col min="3" max="3" width="11" customWidth="1"/>
    <col min="7" max="7" width="12.5703125" customWidth="1"/>
    <col min="8" max="8" width="12.140625" customWidth="1"/>
    <col min="9" max="9" width="13.28515625" customWidth="1"/>
    <col min="10" max="10" width="13.140625" customWidth="1"/>
    <col min="11" max="11" width="10.7109375" customWidth="1"/>
    <col min="12" max="12" width="12.140625" customWidth="1"/>
    <col min="16" max="16" width="10.28515625" customWidth="1"/>
  </cols>
  <sheetData>
    <row r="1" spans="1:29" x14ac:dyDescent="0.2">
      <c r="A1" t="s">
        <v>168</v>
      </c>
    </row>
    <row r="2" spans="1:29" ht="16.5" x14ac:dyDescent="0.2">
      <c r="A2" s="52" t="s">
        <v>169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29" ht="14.25" x14ac:dyDescent="0.2">
      <c r="A3" s="52" t="s">
        <v>170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29" ht="14.25" x14ac:dyDescent="0.2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ht="15" x14ac:dyDescent="0.25">
      <c r="A5" s="53" t="s">
        <v>171</v>
      </c>
      <c r="B5" s="2"/>
      <c r="C5" s="2"/>
      <c r="D5" s="2"/>
      <c r="G5" s="2" t="s">
        <v>172</v>
      </c>
    </row>
    <row r="6" spans="1:29" x14ac:dyDescent="0.2">
      <c r="B6">
        <v>40</v>
      </c>
      <c r="C6" t="s">
        <v>173</v>
      </c>
      <c r="G6">
        <v>10</v>
      </c>
      <c r="H6" t="s">
        <v>174</v>
      </c>
    </row>
    <row r="7" spans="1:29" x14ac:dyDescent="0.2">
      <c r="B7">
        <v>150000</v>
      </c>
      <c r="C7" t="s">
        <v>175</v>
      </c>
      <c r="E7" s="54"/>
      <c r="G7">
        <v>150000</v>
      </c>
      <c r="H7" t="s">
        <v>175</v>
      </c>
    </row>
    <row r="8" spans="1:29" x14ac:dyDescent="0.2">
      <c r="B8">
        <v>10</v>
      </c>
      <c r="C8" t="s">
        <v>176</v>
      </c>
      <c r="E8" s="54"/>
      <c r="G8" s="55">
        <f>G6*1000/G7</f>
        <v>6.6666666666666666E-2</v>
      </c>
      <c r="H8" t="s">
        <v>177</v>
      </c>
    </row>
    <row r="9" spans="1:29" x14ac:dyDescent="0.2">
      <c r="B9">
        <v>1</v>
      </c>
      <c r="C9" t="s">
        <v>178</v>
      </c>
      <c r="G9" s="56">
        <f>G8*1000/100</f>
        <v>0.66666666666666674</v>
      </c>
      <c r="H9" t="s">
        <v>179</v>
      </c>
    </row>
    <row r="10" spans="1:29" x14ac:dyDescent="0.2">
      <c r="G10" s="56">
        <f>G9/0.46</f>
        <v>1.4492753623188406</v>
      </c>
      <c r="H10" t="s">
        <v>180</v>
      </c>
    </row>
    <row r="11" spans="1:29" x14ac:dyDescent="0.2">
      <c r="B11" s="54">
        <f>B6*1000/B7</f>
        <v>0.26666666666666666</v>
      </c>
      <c r="C11" t="s">
        <v>181</v>
      </c>
      <c r="G11">
        <v>10</v>
      </c>
      <c r="H11" t="s">
        <v>182</v>
      </c>
    </row>
    <row r="12" spans="1:29" x14ac:dyDescent="0.2">
      <c r="B12" s="54">
        <f>B11/2</f>
        <v>0.13333333333333333</v>
      </c>
      <c r="C12" t="s">
        <v>183</v>
      </c>
      <c r="D12" t="s">
        <v>184</v>
      </c>
    </row>
    <row r="13" spans="1:29" x14ac:dyDescent="0.2">
      <c r="B13" s="54">
        <f>B12*136/31</f>
        <v>0.5849462365591398</v>
      </c>
      <c r="C13" t="s">
        <v>185</v>
      </c>
      <c r="D13" t="s">
        <v>186</v>
      </c>
      <c r="G13" s="2" t="s">
        <v>187</v>
      </c>
      <c r="I13" t="s">
        <v>188</v>
      </c>
    </row>
    <row r="14" spans="1:29" x14ac:dyDescent="0.2">
      <c r="G14" s="55">
        <f>G8*4</f>
        <v>0.26666666666666666</v>
      </c>
      <c r="H14" t="s">
        <v>189</v>
      </c>
      <c r="I14" t="s">
        <v>190</v>
      </c>
      <c r="J14" t="s">
        <v>191</v>
      </c>
    </row>
    <row r="15" spans="1:29" x14ac:dyDescent="0.2">
      <c r="A15" s="25" t="s">
        <v>192</v>
      </c>
      <c r="B15" s="25" t="s">
        <v>109</v>
      </c>
      <c r="C15" s="25" t="s">
        <v>117</v>
      </c>
      <c r="D15" s="26" t="s">
        <v>193</v>
      </c>
      <c r="E15" s="26" t="s">
        <v>193</v>
      </c>
      <c r="F15" s="26" t="s">
        <v>194</v>
      </c>
      <c r="G15" s="57" t="s">
        <v>195</v>
      </c>
      <c r="H15" s="57" t="s">
        <v>196</v>
      </c>
      <c r="I15" s="57" t="s">
        <v>197</v>
      </c>
      <c r="J15" s="57" t="s">
        <v>198</v>
      </c>
      <c r="K15" s="25" t="s">
        <v>199</v>
      </c>
      <c r="L15" s="58" t="s">
        <v>200</v>
      </c>
    </row>
    <row r="17" spans="1:17" x14ac:dyDescent="0.2">
      <c r="A17">
        <v>1</v>
      </c>
      <c r="B17" t="s">
        <v>201</v>
      </c>
      <c r="C17" s="8" t="s">
        <v>202</v>
      </c>
      <c r="E17" s="8" t="s">
        <v>158</v>
      </c>
      <c r="F17" s="8">
        <v>4</v>
      </c>
      <c r="H17" s="8">
        <v>10</v>
      </c>
      <c r="J17" s="8">
        <v>2</v>
      </c>
      <c r="L17" s="8">
        <f>H17*J17</f>
        <v>20</v>
      </c>
    </row>
    <row r="18" spans="1:17" x14ac:dyDescent="0.2">
      <c r="B18" t="s">
        <v>203</v>
      </c>
      <c r="C18" s="8" t="s">
        <v>117</v>
      </c>
      <c r="D18" s="8" t="s">
        <v>159</v>
      </c>
      <c r="E18" s="8"/>
      <c r="F18" s="8"/>
      <c r="G18" s="8">
        <v>10</v>
      </c>
      <c r="I18" s="8">
        <v>2</v>
      </c>
      <c r="K18" s="8">
        <f>G18*I18</f>
        <v>20</v>
      </c>
    </row>
    <row r="19" spans="1:17" x14ac:dyDescent="0.2">
      <c r="A19">
        <v>2</v>
      </c>
      <c r="B19" t="s">
        <v>201</v>
      </c>
      <c r="C19" s="8" t="s">
        <v>117</v>
      </c>
      <c r="E19" s="8" t="s">
        <v>158</v>
      </c>
      <c r="F19" s="8">
        <v>4</v>
      </c>
      <c r="H19" s="8">
        <v>10</v>
      </c>
      <c r="J19" s="8">
        <v>2</v>
      </c>
      <c r="L19" s="8">
        <f>H19*J19</f>
        <v>20</v>
      </c>
    </row>
    <row r="20" spans="1:17" x14ac:dyDescent="0.2">
      <c r="B20" t="s">
        <v>203</v>
      </c>
      <c r="C20" s="8" t="s">
        <v>117</v>
      </c>
      <c r="D20" s="8" t="s">
        <v>159</v>
      </c>
      <c r="E20" s="8"/>
      <c r="F20" s="8"/>
      <c r="G20" s="8">
        <v>10</v>
      </c>
      <c r="I20" s="8">
        <v>2</v>
      </c>
      <c r="K20" s="8">
        <f>G20*I20</f>
        <v>20</v>
      </c>
    </row>
    <row r="21" spans="1:17" x14ac:dyDescent="0.2">
      <c r="A21">
        <v>3</v>
      </c>
      <c r="B21" t="s">
        <v>201</v>
      </c>
      <c r="C21" s="8" t="s">
        <v>202</v>
      </c>
      <c r="D21" s="8" t="s">
        <v>159</v>
      </c>
      <c r="E21" s="8"/>
      <c r="F21" s="8">
        <v>4</v>
      </c>
      <c r="G21" s="8">
        <v>10</v>
      </c>
      <c r="I21" s="8">
        <v>2</v>
      </c>
      <c r="J21" s="8"/>
      <c r="K21" s="8">
        <f>G21*I21</f>
        <v>20</v>
      </c>
    </row>
    <row r="22" spans="1:17" x14ac:dyDescent="0.2">
      <c r="B22" t="s">
        <v>203</v>
      </c>
      <c r="C22" s="8" t="s">
        <v>117</v>
      </c>
      <c r="D22" s="8"/>
      <c r="E22" s="8"/>
      <c r="F22" s="8"/>
      <c r="G22" s="8"/>
      <c r="I22" s="8"/>
      <c r="J22" s="8"/>
      <c r="K22" s="8"/>
    </row>
    <row r="23" spans="1:17" x14ac:dyDescent="0.2">
      <c r="A23">
        <v>4</v>
      </c>
      <c r="B23" t="s">
        <v>201</v>
      </c>
      <c r="C23" s="8" t="s">
        <v>117</v>
      </c>
      <c r="D23" s="8" t="s">
        <v>159</v>
      </c>
      <c r="E23" s="8"/>
      <c r="F23" s="8">
        <v>4</v>
      </c>
      <c r="G23" s="8">
        <v>10</v>
      </c>
      <c r="I23" s="8">
        <v>2</v>
      </c>
      <c r="J23" s="8"/>
      <c r="K23" s="8">
        <f>G23*I23</f>
        <v>20</v>
      </c>
    </row>
    <row r="24" spans="1:17" x14ac:dyDescent="0.2">
      <c r="B24" t="s">
        <v>203</v>
      </c>
      <c r="C24" s="8" t="s">
        <v>117</v>
      </c>
      <c r="D24" s="8"/>
      <c r="E24" s="8"/>
      <c r="F24" s="8"/>
      <c r="G24" s="8"/>
      <c r="I24" s="8"/>
      <c r="J24" s="8"/>
      <c r="K24" s="8"/>
    </row>
    <row r="25" spans="1:17" x14ac:dyDescent="0.2">
      <c r="A25">
        <v>5</v>
      </c>
      <c r="B25" t="s">
        <v>203</v>
      </c>
      <c r="C25" s="8" t="s">
        <v>117</v>
      </c>
      <c r="D25" s="8" t="s">
        <v>159</v>
      </c>
      <c r="E25" s="8"/>
      <c r="F25" s="8">
        <v>4</v>
      </c>
      <c r="G25" s="8">
        <v>10</v>
      </c>
      <c r="I25" s="8">
        <v>2</v>
      </c>
      <c r="J25" s="8"/>
      <c r="K25" s="8">
        <f>G25*I25</f>
        <v>20</v>
      </c>
    </row>
    <row r="26" spans="1:17" x14ac:dyDescent="0.2">
      <c r="B26" t="s">
        <v>203</v>
      </c>
      <c r="C26" s="8" t="s">
        <v>117</v>
      </c>
      <c r="D26" s="8"/>
      <c r="E26" s="8"/>
      <c r="F26" s="8"/>
      <c r="G26" s="8"/>
      <c r="I26" s="8"/>
      <c r="J26" s="8"/>
      <c r="K26" s="8"/>
    </row>
    <row r="27" spans="1:17" x14ac:dyDescent="0.2">
      <c r="A27">
        <v>6</v>
      </c>
      <c r="B27" t="s">
        <v>204</v>
      </c>
      <c r="C27" s="8" t="s">
        <v>202</v>
      </c>
      <c r="D27" s="8" t="s">
        <v>159</v>
      </c>
      <c r="E27" s="8"/>
      <c r="F27" s="8">
        <v>4</v>
      </c>
      <c r="G27" s="8">
        <v>10</v>
      </c>
      <c r="I27" s="8">
        <v>2</v>
      </c>
      <c r="J27" s="8"/>
      <c r="K27" s="8">
        <f>G27*I27</f>
        <v>20</v>
      </c>
    </row>
    <row r="28" spans="1:17" x14ac:dyDescent="0.2">
      <c r="B28" t="s">
        <v>204</v>
      </c>
      <c r="C28" s="8" t="s">
        <v>202</v>
      </c>
      <c r="D28" s="8"/>
      <c r="E28" s="8"/>
      <c r="F28" s="8"/>
      <c r="G28" s="8"/>
      <c r="I28" s="8"/>
      <c r="J28" s="8"/>
      <c r="K28" s="8"/>
    </row>
    <row r="29" spans="1:17" x14ac:dyDescent="0.2">
      <c r="A29">
        <v>7</v>
      </c>
      <c r="B29" t="s">
        <v>204</v>
      </c>
      <c r="C29" s="8" t="s">
        <v>117</v>
      </c>
      <c r="D29" s="8" t="s">
        <v>159</v>
      </c>
      <c r="E29" s="8"/>
      <c r="F29" s="8">
        <v>4</v>
      </c>
      <c r="G29" s="8">
        <v>10</v>
      </c>
      <c r="I29" s="8">
        <v>2</v>
      </c>
      <c r="J29" s="8"/>
      <c r="K29" s="8">
        <f>G29*I29</f>
        <v>20</v>
      </c>
    </row>
    <row r="30" spans="1:17" x14ac:dyDescent="0.2">
      <c r="A30" s="25"/>
      <c r="B30" s="25" t="s">
        <v>204</v>
      </c>
      <c r="C30" s="26" t="s">
        <v>117</v>
      </c>
      <c r="D30" s="26"/>
      <c r="E30" s="26"/>
      <c r="F30" s="26"/>
      <c r="G30" s="26"/>
      <c r="H30" s="25"/>
      <c r="I30" s="26"/>
      <c r="J30" s="26"/>
      <c r="K30" s="26"/>
      <c r="L30" s="25"/>
    </row>
    <row r="31" spans="1:17" x14ac:dyDescent="0.2">
      <c r="A31" s="59" t="s">
        <v>205</v>
      </c>
      <c r="B31" s="59"/>
      <c r="C31" s="59"/>
      <c r="D31" s="59"/>
      <c r="E31" s="59"/>
      <c r="F31" s="60">
        <f>SUM(F17:F30)</f>
        <v>28</v>
      </c>
      <c r="G31" s="60">
        <f>SUM(G17:G30)</f>
        <v>70</v>
      </c>
      <c r="H31" s="60">
        <f>SUM(H17:H30)</f>
        <v>20</v>
      </c>
      <c r="I31" s="60"/>
      <c r="J31" s="60"/>
      <c r="K31" s="60">
        <f>SUM(K17:K30)</f>
        <v>140</v>
      </c>
      <c r="L31" s="60">
        <f>SUM(L17:L30)</f>
        <v>40</v>
      </c>
    </row>
    <row r="32" spans="1:17" x14ac:dyDescent="0.2">
      <c r="H32" t="s">
        <v>206</v>
      </c>
      <c r="I32" t="s">
        <v>207</v>
      </c>
      <c r="J32" s="8" t="s">
        <v>208</v>
      </c>
      <c r="K32" s="8">
        <f>160*4</f>
        <v>640</v>
      </c>
      <c r="L32" s="8">
        <f>50*4</f>
        <v>200</v>
      </c>
      <c r="N32" s="8"/>
      <c r="Q32" t="s">
        <v>307</v>
      </c>
    </row>
    <row r="33" spans="3:17" x14ac:dyDescent="0.2">
      <c r="I33" t="s">
        <v>209</v>
      </c>
      <c r="J33" s="8" t="s">
        <v>210</v>
      </c>
      <c r="K33" s="9">
        <f>$B$13*K32/10*4</f>
        <v>149.74623655913979</v>
      </c>
      <c r="L33" s="9">
        <f>$B$13*L32/10</f>
        <v>11.698924731182796</v>
      </c>
      <c r="N33">
        <f>39+2+31+64</f>
        <v>136</v>
      </c>
      <c r="O33" s="56">
        <f>K33*31/N33</f>
        <v>34.133333333333333</v>
      </c>
      <c r="P33" t="s">
        <v>213</v>
      </c>
      <c r="Q33" s="9">
        <f>1000*O33/640</f>
        <v>53.333333333333336</v>
      </c>
    </row>
    <row r="34" spans="3:17" x14ac:dyDescent="0.2">
      <c r="I34" t="s">
        <v>211</v>
      </c>
      <c r="J34" s="8" t="s">
        <v>212</v>
      </c>
      <c r="K34" s="8">
        <f>1*K32/10</f>
        <v>64</v>
      </c>
      <c r="L34" s="8">
        <f>1*L32/10</f>
        <v>20</v>
      </c>
      <c r="O34" s="56">
        <f>L33*31/N33</f>
        <v>2.666666666666667</v>
      </c>
      <c r="P34" t="s">
        <v>215</v>
      </c>
      <c r="Q34" s="9">
        <f>1000*O34/200</f>
        <v>13.333333333333336</v>
      </c>
    </row>
    <row r="35" spans="3:17" x14ac:dyDescent="0.2">
      <c r="K35" s="9">
        <f>K34/O33</f>
        <v>1.875</v>
      </c>
      <c r="L35" s="9">
        <f>L34/L33</f>
        <v>1.7095588235294117</v>
      </c>
      <c r="M35" t="s">
        <v>214</v>
      </c>
    </row>
    <row r="36" spans="3:17" ht="25.5" x14ac:dyDescent="0.2">
      <c r="G36" s="84" t="s">
        <v>312</v>
      </c>
      <c r="H36" t="s">
        <v>303</v>
      </c>
      <c r="I36" t="s">
        <v>313</v>
      </c>
      <c r="J36" s="8" t="s">
        <v>311</v>
      </c>
    </row>
    <row r="37" spans="3:17" x14ac:dyDescent="0.2">
      <c r="C37" t="s">
        <v>310</v>
      </c>
      <c r="F37" t="s">
        <v>159</v>
      </c>
      <c r="G37" s="8">
        <v>451396</v>
      </c>
      <c r="H37" s="54">
        <f>56/14.7</f>
        <v>3.8095238095238098</v>
      </c>
      <c r="I37" s="29">
        <f>H37*G37/60</f>
        <v>28660.063492063495</v>
      </c>
      <c r="J37" s="9">
        <f>I37/1000</f>
        <v>28.660063492063493</v>
      </c>
      <c r="K37" s="8"/>
      <c r="L37" s="8"/>
    </row>
    <row r="38" spans="3:17" x14ac:dyDescent="0.2">
      <c r="F38" t="s">
        <v>158</v>
      </c>
      <c r="G38" s="8">
        <v>656242</v>
      </c>
      <c r="H38" s="54">
        <f>56/25</f>
        <v>2.2400000000000002</v>
      </c>
      <c r="I38" s="29">
        <f>H38*G38/60</f>
        <v>24499.701333333334</v>
      </c>
      <c r="J38" s="9">
        <f>I38/1000</f>
        <v>24.499701333333334</v>
      </c>
      <c r="K38" s="8"/>
      <c r="L38" s="8"/>
    </row>
    <row r="46" spans="3:17" x14ac:dyDescent="0.2">
      <c r="J46" t="s">
        <v>271</v>
      </c>
      <c r="K46" t="s">
        <v>306</v>
      </c>
      <c r="L46" t="s">
        <v>270</v>
      </c>
      <c r="M46" t="s">
        <v>307</v>
      </c>
      <c r="N46" t="s">
        <v>308</v>
      </c>
    </row>
    <row r="47" spans="3:17" x14ac:dyDescent="0.2">
      <c r="G47" t="s">
        <v>159</v>
      </c>
      <c r="H47" t="s">
        <v>305</v>
      </c>
      <c r="J47" s="9">
        <f>J37</f>
        <v>28.660063492063493</v>
      </c>
      <c r="K47" s="8">
        <v>320</v>
      </c>
      <c r="L47" s="54">
        <f>1000000*J47/K47</f>
        <v>89562.698412698417</v>
      </c>
      <c r="M47" s="72">
        <f>O33*1000/K32</f>
        <v>53.333333333333336</v>
      </c>
      <c r="N47" s="54">
        <f>L47/M47</f>
        <v>1679.3005952380952</v>
      </c>
    </row>
    <row r="48" spans="3:17" x14ac:dyDescent="0.2">
      <c r="G48" t="s">
        <v>158</v>
      </c>
      <c r="H48" t="s">
        <v>309</v>
      </c>
      <c r="J48" s="9">
        <f>J38</f>
        <v>24.499701333333334</v>
      </c>
      <c r="K48" s="8">
        <v>200</v>
      </c>
      <c r="L48" s="54">
        <f>1000000*J48/K48</f>
        <v>122498.50666666668</v>
      </c>
      <c r="M48" s="72">
        <f>1000*O34/200</f>
        <v>13.333333333333336</v>
      </c>
      <c r="N48" s="54">
        <f>L48/M48</f>
        <v>9187.387999999999</v>
      </c>
    </row>
    <row r="49" spans="10:14" x14ac:dyDescent="0.2">
      <c r="J49" s="8"/>
      <c r="K49" s="8"/>
      <c r="L49" s="8"/>
      <c r="M49" s="8"/>
      <c r="N49" s="8"/>
    </row>
    <row r="50" spans="10:14" x14ac:dyDescent="0.2">
      <c r="J50" s="8"/>
      <c r="K50" s="8"/>
      <c r="L50" s="8"/>
      <c r="M50" s="8"/>
      <c r="N50" s="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H38" sqref="H38"/>
    </sheetView>
  </sheetViews>
  <sheetFormatPr defaultRowHeight="12.75" x14ac:dyDescent="0.2"/>
  <cols>
    <col min="1" max="1" width="15.85546875" customWidth="1"/>
  </cols>
  <sheetData>
    <row r="1" spans="1:5" x14ac:dyDescent="0.2">
      <c r="A1" t="s">
        <v>109</v>
      </c>
      <c r="B1" t="s">
        <v>355</v>
      </c>
      <c r="C1" t="s">
        <v>356</v>
      </c>
      <c r="D1" t="s">
        <v>357</v>
      </c>
      <c r="E1" t="s">
        <v>358</v>
      </c>
    </row>
    <row r="2" spans="1:5" x14ac:dyDescent="0.2">
      <c r="A2" t="s">
        <v>362</v>
      </c>
      <c r="B2" t="s">
        <v>117</v>
      </c>
      <c r="C2">
        <v>20.22</v>
      </c>
      <c r="D2">
        <v>0.82</v>
      </c>
      <c r="E2">
        <v>0.16</v>
      </c>
    </row>
    <row r="3" spans="1:5" x14ac:dyDescent="0.2">
      <c r="A3" t="s">
        <v>360</v>
      </c>
      <c r="B3" t="s">
        <v>117</v>
      </c>
      <c r="C3">
        <v>32.869999999999997</v>
      </c>
      <c r="D3">
        <v>6.45</v>
      </c>
      <c r="E3">
        <v>2.12</v>
      </c>
    </row>
    <row r="4" spans="1:5" x14ac:dyDescent="0.2">
      <c r="A4" t="s">
        <v>362</v>
      </c>
      <c r="B4" t="s">
        <v>359</v>
      </c>
      <c r="C4">
        <v>4.8600000000000003</v>
      </c>
      <c r="D4">
        <v>1.17</v>
      </c>
      <c r="E4">
        <v>0.06</v>
      </c>
    </row>
    <row r="5" spans="1:5" x14ac:dyDescent="0.2">
      <c r="A5" t="s">
        <v>360</v>
      </c>
      <c r="B5" t="s">
        <v>359</v>
      </c>
      <c r="C5">
        <v>17.87</v>
      </c>
      <c r="D5">
        <v>1.93</v>
      </c>
      <c r="E5">
        <v>0.34</v>
      </c>
    </row>
    <row r="6" spans="1:5" x14ac:dyDescent="0.2">
      <c r="A6" t="s">
        <v>362</v>
      </c>
      <c r="B6" t="s">
        <v>117</v>
      </c>
      <c r="C6">
        <v>34.130000000000003</v>
      </c>
      <c r="D6">
        <v>0</v>
      </c>
      <c r="E6">
        <v>0</v>
      </c>
    </row>
    <row r="7" spans="1:5" x14ac:dyDescent="0.2">
      <c r="A7" t="s">
        <v>360</v>
      </c>
      <c r="B7" t="s">
        <v>117</v>
      </c>
      <c r="C7">
        <v>18.45</v>
      </c>
      <c r="D7">
        <v>6.04</v>
      </c>
      <c r="E7">
        <v>1.1100000000000001</v>
      </c>
    </row>
    <row r="8" spans="1:5" x14ac:dyDescent="0.2">
      <c r="A8" t="s">
        <v>362</v>
      </c>
      <c r="B8" t="s">
        <v>359</v>
      </c>
      <c r="C8">
        <v>14.01</v>
      </c>
      <c r="D8">
        <v>0.81</v>
      </c>
      <c r="E8">
        <v>0.11</v>
      </c>
    </row>
    <row r="9" spans="1:5" x14ac:dyDescent="0.2">
      <c r="A9" t="s">
        <v>360</v>
      </c>
      <c r="B9" t="s">
        <v>359</v>
      </c>
      <c r="C9">
        <v>37.31</v>
      </c>
      <c r="D9">
        <v>2.68</v>
      </c>
      <c r="E9">
        <v>1</v>
      </c>
    </row>
    <row r="10" spans="1:5" x14ac:dyDescent="0.2">
      <c r="A10" t="s">
        <v>362</v>
      </c>
      <c r="B10" t="s">
        <v>117</v>
      </c>
      <c r="C10">
        <v>16.02</v>
      </c>
      <c r="D10">
        <v>1.1399999999999999</v>
      </c>
      <c r="E10">
        <v>0.18</v>
      </c>
    </row>
    <row r="11" spans="1:5" x14ac:dyDescent="0.2">
      <c r="A11" t="s">
        <v>360</v>
      </c>
      <c r="B11" t="s">
        <v>117</v>
      </c>
      <c r="C11">
        <v>15.77</v>
      </c>
      <c r="D11">
        <v>1.17</v>
      </c>
      <c r="E11">
        <v>0.19</v>
      </c>
    </row>
    <row r="12" spans="1:5" x14ac:dyDescent="0.2">
      <c r="A12" t="s">
        <v>362</v>
      </c>
      <c r="B12" t="s">
        <v>359</v>
      </c>
      <c r="C12">
        <v>28.42</v>
      </c>
      <c r="D12">
        <v>1.02</v>
      </c>
      <c r="E12">
        <v>0.28999999999999998</v>
      </c>
    </row>
    <row r="13" spans="1:5" x14ac:dyDescent="0.2">
      <c r="A13" t="s">
        <v>360</v>
      </c>
      <c r="B13" t="s">
        <v>359</v>
      </c>
      <c r="C13">
        <v>14.92</v>
      </c>
      <c r="D13">
        <v>2.8</v>
      </c>
      <c r="E13">
        <v>0.42</v>
      </c>
    </row>
    <row r="14" spans="1:5" x14ac:dyDescent="0.2">
      <c r="A14" t="s">
        <v>362</v>
      </c>
      <c r="B14" t="s">
        <v>117</v>
      </c>
      <c r="C14">
        <v>42.98</v>
      </c>
      <c r="D14">
        <v>0.89</v>
      </c>
      <c r="E14">
        <v>0.38</v>
      </c>
    </row>
    <row r="15" spans="1:5" x14ac:dyDescent="0.2">
      <c r="A15" t="s">
        <v>360</v>
      </c>
      <c r="B15" t="s">
        <v>117</v>
      </c>
      <c r="C15">
        <v>19.53</v>
      </c>
      <c r="D15">
        <v>3.68</v>
      </c>
      <c r="E15">
        <v>0.72</v>
      </c>
    </row>
    <row r="16" spans="1:5" x14ac:dyDescent="0.2">
      <c r="A16" t="s">
        <v>362</v>
      </c>
      <c r="B16" t="s">
        <v>359</v>
      </c>
      <c r="C16">
        <v>12.33</v>
      </c>
      <c r="D16">
        <v>0.75</v>
      </c>
      <c r="E16">
        <v>0.09</v>
      </c>
    </row>
    <row r="17" spans="1:5" x14ac:dyDescent="0.2">
      <c r="A17" t="s">
        <v>360</v>
      </c>
      <c r="B17" t="s">
        <v>359</v>
      </c>
      <c r="C17">
        <v>28.51</v>
      </c>
      <c r="D17">
        <v>0.82</v>
      </c>
      <c r="E17">
        <v>0.23</v>
      </c>
    </row>
    <row r="18" spans="1:5" x14ac:dyDescent="0.2">
      <c r="A18" t="s">
        <v>365</v>
      </c>
      <c r="B18" t="s">
        <v>117</v>
      </c>
      <c r="C18">
        <v>24.49</v>
      </c>
      <c r="D18">
        <v>2.8</v>
      </c>
      <c r="E18">
        <v>0.69</v>
      </c>
    </row>
    <row r="19" spans="1:5" x14ac:dyDescent="0.2">
      <c r="A19" t="s">
        <v>365</v>
      </c>
      <c r="B19" t="s">
        <v>117</v>
      </c>
      <c r="C19">
        <v>31.62</v>
      </c>
      <c r="D19">
        <v>1.74</v>
      </c>
      <c r="E19">
        <v>0.55000000000000004</v>
      </c>
    </row>
    <row r="20" spans="1:5" x14ac:dyDescent="0.2">
      <c r="A20" t="s">
        <v>364</v>
      </c>
      <c r="B20" t="s">
        <v>359</v>
      </c>
      <c r="C20">
        <v>15.05</v>
      </c>
      <c r="D20">
        <v>1.81</v>
      </c>
      <c r="E20">
        <v>0.27</v>
      </c>
    </row>
    <row r="21" spans="1:5" x14ac:dyDescent="0.2">
      <c r="A21" t="s">
        <v>364</v>
      </c>
      <c r="B21" t="s">
        <v>359</v>
      </c>
      <c r="C21">
        <v>12.64</v>
      </c>
      <c r="D21">
        <v>4.12</v>
      </c>
      <c r="E21">
        <v>0.52</v>
      </c>
    </row>
    <row r="22" spans="1:5" x14ac:dyDescent="0.2">
      <c r="A22" t="s">
        <v>365</v>
      </c>
      <c r="B22" t="s">
        <v>117</v>
      </c>
      <c r="C22">
        <v>18.5</v>
      </c>
      <c r="D22">
        <v>1.23</v>
      </c>
      <c r="E22">
        <v>0.23</v>
      </c>
    </row>
    <row r="23" spans="1:5" x14ac:dyDescent="0.2">
      <c r="A23" t="s">
        <v>365</v>
      </c>
      <c r="B23" t="s">
        <v>117</v>
      </c>
      <c r="C23">
        <v>33.74</v>
      </c>
      <c r="D23">
        <v>1.06</v>
      </c>
      <c r="E23">
        <v>0.36</v>
      </c>
    </row>
    <row r="24" spans="1:5" x14ac:dyDescent="0.2">
      <c r="A24" t="s">
        <v>364</v>
      </c>
      <c r="B24" t="s">
        <v>359</v>
      </c>
      <c r="C24">
        <v>13.46</v>
      </c>
      <c r="D24">
        <v>1.28</v>
      </c>
      <c r="E24">
        <v>0.17</v>
      </c>
    </row>
    <row r="25" spans="1:5" x14ac:dyDescent="0.2">
      <c r="A25" t="s">
        <v>364</v>
      </c>
      <c r="B25" t="s">
        <v>359</v>
      </c>
      <c r="C25">
        <v>6.07</v>
      </c>
      <c r="D25">
        <v>2.15</v>
      </c>
      <c r="E25">
        <v>0.13</v>
      </c>
    </row>
    <row r="26" spans="1:5" x14ac:dyDescent="0.2">
      <c r="A26" t="s">
        <v>365</v>
      </c>
      <c r="B26" t="s">
        <v>117</v>
      </c>
      <c r="C26">
        <v>6.65</v>
      </c>
      <c r="D26">
        <v>8.31</v>
      </c>
      <c r="E26">
        <v>0.55000000000000004</v>
      </c>
    </row>
    <row r="27" spans="1:5" x14ac:dyDescent="0.2">
      <c r="A27" t="s">
        <v>365</v>
      </c>
      <c r="B27" t="s">
        <v>117</v>
      </c>
      <c r="C27">
        <v>14.16</v>
      </c>
      <c r="D27">
        <v>3.25</v>
      </c>
      <c r="E27">
        <v>0.46</v>
      </c>
    </row>
    <row r="28" spans="1:5" x14ac:dyDescent="0.2">
      <c r="A28" t="s">
        <v>364</v>
      </c>
      <c r="B28" t="s">
        <v>359</v>
      </c>
      <c r="C28">
        <v>17.489999999999998</v>
      </c>
      <c r="D28">
        <v>3.89</v>
      </c>
      <c r="E28">
        <v>0.68</v>
      </c>
    </row>
    <row r="29" spans="1:5" x14ac:dyDescent="0.2">
      <c r="A29" t="s">
        <v>364</v>
      </c>
      <c r="B29" t="s">
        <v>359</v>
      </c>
      <c r="C29">
        <v>14.9</v>
      </c>
      <c r="D29">
        <v>0.27</v>
      </c>
      <c r="E29">
        <v>0.04</v>
      </c>
    </row>
    <row r="30" spans="1:5" x14ac:dyDescent="0.2">
      <c r="A30" t="s">
        <v>365</v>
      </c>
      <c r="B30" t="s">
        <v>117</v>
      </c>
      <c r="C30">
        <v>30.81</v>
      </c>
      <c r="D30">
        <v>10.72</v>
      </c>
      <c r="E30">
        <v>3.3</v>
      </c>
    </row>
    <row r="31" spans="1:5" x14ac:dyDescent="0.2">
      <c r="A31" t="s">
        <v>365</v>
      </c>
      <c r="B31" t="s">
        <v>117</v>
      </c>
      <c r="C31">
        <v>24.91</v>
      </c>
      <c r="D31">
        <v>3.38</v>
      </c>
      <c r="E31">
        <v>0.84</v>
      </c>
    </row>
    <row r="32" spans="1:5" x14ac:dyDescent="0.2">
      <c r="A32" t="s">
        <v>364</v>
      </c>
      <c r="B32" t="s">
        <v>359</v>
      </c>
      <c r="C32">
        <v>30.08</v>
      </c>
      <c r="D32">
        <v>7.22</v>
      </c>
      <c r="E32">
        <v>2.17</v>
      </c>
    </row>
    <row r="33" spans="1:5" x14ac:dyDescent="0.2">
      <c r="A33" t="s">
        <v>364</v>
      </c>
      <c r="B33" t="s">
        <v>359</v>
      </c>
      <c r="C33">
        <v>12.09</v>
      </c>
      <c r="D33">
        <v>3.91</v>
      </c>
      <c r="E33">
        <v>0.47</v>
      </c>
    </row>
    <row r="34" spans="1:5" x14ac:dyDescent="0.2">
      <c r="A34" t="s">
        <v>364</v>
      </c>
      <c r="B34" t="s">
        <v>117</v>
      </c>
      <c r="C34">
        <v>41.41</v>
      </c>
      <c r="D34">
        <v>0.49</v>
      </c>
      <c r="E34">
        <v>0.2</v>
      </c>
    </row>
    <row r="35" spans="1:5" x14ac:dyDescent="0.2">
      <c r="A35" t="s">
        <v>364</v>
      </c>
      <c r="B35" t="s">
        <v>117</v>
      </c>
      <c r="C35">
        <v>8.0399999999999991</v>
      </c>
      <c r="D35">
        <v>1.74</v>
      </c>
      <c r="E35">
        <v>0.14000000000000001</v>
      </c>
    </row>
    <row r="36" spans="1:5" x14ac:dyDescent="0.2">
      <c r="A36" t="s">
        <v>364</v>
      </c>
      <c r="B36" t="s">
        <v>117</v>
      </c>
      <c r="C36">
        <v>1.31</v>
      </c>
      <c r="D36">
        <v>0.64</v>
      </c>
      <c r="E36">
        <v>0.01</v>
      </c>
    </row>
    <row r="37" spans="1:5" x14ac:dyDescent="0.2">
      <c r="A37" t="s">
        <v>364</v>
      </c>
      <c r="B37" t="s">
        <v>117</v>
      </c>
      <c r="C37">
        <v>26.41</v>
      </c>
      <c r="D37">
        <v>0</v>
      </c>
      <c r="E37">
        <v>0</v>
      </c>
    </row>
    <row r="38" spans="1:5" x14ac:dyDescent="0.2">
      <c r="A38" t="s">
        <v>364</v>
      </c>
      <c r="B38" t="s">
        <v>117</v>
      </c>
      <c r="C38">
        <v>28.81</v>
      </c>
      <c r="D38">
        <v>8.6</v>
      </c>
      <c r="E38">
        <v>2.48</v>
      </c>
    </row>
    <row r="39" spans="1:5" x14ac:dyDescent="0.2">
      <c r="A39" t="s">
        <v>364</v>
      </c>
      <c r="B39" t="s">
        <v>117</v>
      </c>
      <c r="C39">
        <v>16.09</v>
      </c>
      <c r="D39">
        <v>0.91</v>
      </c>
      <c r="E39">
        <v>0.15</v>
      </c>
    </row>
    <row r="40" spans="1:5" x14ac:dyDescent="0.2">
      <c r="A40" t="s">
        <v>364</v>
      </c>
      <c r="B40" t="s">
        <v>117</v>
      </c>
      <c r="C40">
        <v>16.68</v>
      </c>
      <c r="D40">
        <v>4.62</v>
      </c>
      <c r="E40">
        <v>0.77</v>
      </c>
    </row>
    <row r="41" spans="1:5" x14ac:dyDescent="0.2">
      <c r="A41" t="s">
        <v>364</v>
      </c>
      <c r="B41" t="s">
        <v>117</v>
      </c>
      <c r="C41">
        <v>17.38</v>
      </c>
      <c r="D41">
        <v>12.14</v>
      </c>
      <c r="E41">
        <v>2.11</v>
      </c>
    </row>
    <row r="42" spans="1:5" x14ac:dyDescent="0.2">
      <c r="A42" t="s">
        <v>363</v>
      </c>
      <c r="B42" t="s">
        <v>359</v>
      </c>
      <c r="C42">
        <v>4.93</v>
      </c>
      <c r="D42">
        <v>1.49</v>
      </c>
      <c r="E42">
        <v>7.0000000000000007E-2</v>
      </c>
    </row>
    <row r="43" spans="1:5" x14ac:dyDescent="0.2">
      <c r="A43" t="s">
        <v>361</v>
      </c>
      <c r="B43" t="s">
        <v>359</v>
      </c>
      <c r="C43">
        <v>34.200000000000003</v>
      </c>
      <c r="D43">
        <v>5.81</v>
      </c>
      <c r="E43">
        <v>1.99</v>
      </c>
    </row>
    <row r="44" spans="1:5" x14ac:dyDescent="0.2">
      <c r="A44" t="s">
        <v>363</v>
      </c>
      <c r="B44" t="s">
        <v>117</v>
      </c>
      <c r="C44">
        <v>36.43</v>
      </c>
      <c r="D44">
        <v>2.34</v>
      </c>
      <c r="E44">
        <v>0.85</v>
      </c>
    </row>
    <row r="45" spans="1:5" x14ac:dyDescent="0.2">
      <c r="A45" t="s">
        <v>361</v>
      </c>
      <c r="B45" t="s">
        <v>117</v>
      </c>
      <c r="C45">
        <v>42.02</v>
      </c>
      <c r="D45">
        <v>5.8</v>
      </c>
      <c r="E45">
        <v>2.44</v>
      </c>
    </row>
    <row r="46" spans="1:5" x14ac:dyDescent="0.2">
      <c r="A46" t="s">
        <v>363</v>
      </c>
      <c r="B46" t="s">
        <v>359</v>
      </c>
      <c r="C46">
        <v>6.73</v>
      </c>
      <c r="D46">
        <v>2.92</v>
      </c>
      <c r="E46">
        <v>0.2</v>
      </c>
    </row>
    <row r="47" spans="1:5" x14ac:dyDescent="0.2">
      <c r="A47" t="s">
        <v>361</v>
      </c>
      <c r="B47" t="s">
        <v>359</v>
      </c>
      <c r="C47">
        <v>20.69</v>
      </c>
      <c r="D47">
        <v>5.72</v>
      </c>
      <c r="E47">
        <v>1.18</v>
      </c>
    </row>
    <row r="48" spans="1:5" x14ac:dyDescent="0.2">
      <c r="A48" t="s">
        <v>363</v>
      </c>
      <c r="B48" t="s">
        <v>117</v>
      </c>
      <c r="C48">
        <v>11.98</v>
      </c>
      <c r="D48">
        <v>2.75</v>
      </c>
      <c r="E48">
        <v>0.33</v>
      </c>
    </row>
    <row r="49" spans="1:5" x14ac:dyDescent="0.2">
      <c r="A49" t="s">
        <v>361</v>
      </c>
      <c r="B49" t="s">
        <v>117</v>
      </c>
      <c r="C49">
        <v>43.66</v>
      </c>
      <c r="D49">
        <v>4.59</v>
      </c>
      <c r="E49">
        <v>2.0099999999999998</v>
      </c>
    </row>
    <row r="50" spans="1:5" x14ac:dyDescent="0.2">
      <c r="A50" t="s">
        <v>363</v>
      </c>
      <c r="B50" t="s">
        <v>359</v>
      </c>
      <c r="C50">
        <v>20.43</v>
      </c>
      <c r="D50">
        <v>1.43</v>
      </c>
      <c r="E50">
        <v>0.28999999999999998</v>
      </c>
    </row>
    <row r="51" spans="1:5" x14ac:dyDescent="0.2">
      <c r="A51" t="s">
        <v>361</v>
      </c>
      <c r="B51" t="s">
        <v>359</v>
      </c>
      <c r="C51">
        <v>26.17</v>
      </c>
      <c r="D51">
        <v>2.69</v>
      </c>
      <c r="E51">
        <v>0.7</v>
      </c>
    </row>
    <row r="52" spans="1:5" x14ac:dyDescent="0.2">
      <c r="A52" t="s">
        <v>363</v>
      </c>
      <c r="B52" t="s">
        <v>117</v>
      </c>
      <c r="C52">
        <v>30.85</v>
      </c>
      <c r="D52">
        <v>13.4</v>
      </c>
      <c r="E52">
        <v>4.1399999999999997</v>
      </c>
    </row>
    <row r="53" spans="1:5" x14ac:dyDescent="0.2">
      <c r="A53" t="s">
        <v>361</v>
      </c>
      <c r="B53" t="s">
        <v>117</v>
      </c>
      <c r="C53">
        <v>27.68</v>
      </c>
      <c r="D53">
        <v>6.89</v>
      </c>
      <c r="E53">
        <v>1.91</v>
      </c>
    </row>
    <row r="54" spans="1:5" x14ac:dyDescent="0.2">
      <c r="A54" t="s">
        <v>363</v>
      </c>
      <c r="B54" t="s">
        <v>359</v>
      </c>
      <c r="C54">
        <v>13.27</v>
      </c>
      <c r="D54">
        <v>1.0900000000000001</v>
      </c>
      <c r="E54">
        <v>0.14000000000000001</v>
      </c>
    </row>
    <row r="55" spans="1:5" x14ac:dyDescent="0.2">
      <c r="A55" t="s">
        <v>361</v>
      </c>
      <c r="B55" t="s">
        <v>359</v>
      </c>
      <c r="C55">
        <v>28.47</v>
      </c>
      <c r="D55">
        <v>3.54</v>
      </c>
      <c r="E55">
        <v>1.01</v>
      </c>
    </row>
    <row r="56" spans="1:5" x14ac:dyDescent="0.2">
      <c r="A56" t="s">
        <v>363</v>
      </c>
      <c r="B56" t="s">
        <v>117</v>
      </c>
      <c r="C56">
        <v>58.66</v>
      </c>
      <c r="D56">
        <v>3.07</v>
      </c>
      <c r="E56">
        <v>1.8</v>
      </c>
    </row>
    <row r="57" spans="1:5" x14ac:dyDescent="0.2">
      <c r="A57" t="s">
        <v>361</v>
      </c>
      <c r="B57" t="s">
        <v>117</v>
      </c>
      <c r="C57">
        <v>14.87</v>
      </c>
      <c r="D57">
        <v>4.59</v>
      </c>
      <c r="E57">
        <v>0.68</v>
      </c>
    </row>
    <row r="58" spans="1:5" x14ac:dyDescent="0.2">
      <c r="A58" t="s">
        <v>364</v>
      </c>
      <c r="B58" t="s">
        <v>117</v>
      </c>
      <c r="C58">
        <v>41.41</v>
      </c>
      <c r="D58">
        <v>0.49</v>
      </c>
      <c r="E58">
        <v>0.2</v>
      </c>
    </row>
    <row r="59" spans="1:5" x14ac:dyDescent="0.2">
      <c r="A59" t="s">
        <v>364</v>
      </c>
      <c r="B59" t="s">
        <v>117</v>
      </c>
      <c r="C59">
        <v>8.0399999999999991</v>
      </c>
      <c r="D59">
        <v>1.74</v>
      </c>
      <c r="E59">
        <v>0.14000000000000001</v>
      </c>
    </row>
    <row r="60" spans="1:5" x14ac:dyDescent="0.2">
      <c r="A60" t="s">
        <v>364</v>
      </c>
      <c r="B60" t="s">
        <v>117</v>
      </c>
      <c r="C60">
        <v>1.31</v>
      </c>
      <c r="D60">
        <v>0.64</v>
      </c>
      <c r="E60">
        <v>0.01</v>
      </c>
    </row>
    <row r="61" spans="1:5" x14ac:dyDescent="0.2">
      <c r="A61" t="s">
        <v>364</v>
      </c>
      <c r="B61" t="s">
        <v>117</v>
      </c>
      <c r="C61">
        <v>26.41</v>
      </c>
      <c r="D61">
        <v>0</v>
      </c>
      <c r="E61">
        <v>0</v>
      </c>
    </row>
    <row r="62" spans="1:5" x14ac:dyDescent="0.2">
      <c r="A62" t="s">
        <v>364</v>
      </c>
      <c r="B62" t="s">
        <v>117</v>
      </c>
      <c r="C62">
        <v>28.81</v>
      </c>
      <c r="D62">
        <v>8.6</v>
      </c>
      <c r="E62">
        <v>2.48</v>
      </c>
    </row>
    <row r="63" spans="1:5" x14ac:dyDescent="0.2">
      <c r="A63" t="s">
        <v>364</v>
      </c>
      <c r="B63" t="s">
        <v>117</v>
      </c>
      <c r="C63">
        <v>16.09</v>
      </c>
      <c r="D63">
        <v>0.91</v>
      </c>
      <c r="E63">
        <v>0.15</v>
      </c>
    </row>
    <row r="64" spans="1:5" x14ac:dyDescent="0.2">
      <c r="A64" t="s">
        <v>364</v>
      </c>
      <c r="B64" t="s">
        <v>117</v>
      </c>
      <c r="C64">
        <v>16.68</v>
      </c>
      <c r="D64">
        <v>4.62</v>
      </c>
      <c r="E64">
        <v>0.77</v>
      </c>
    </row>
    <row r="65" spans="1:5" x14ac:dyDescent="0.2">
      <c r="A65" t="s">
        <v>364</v>
      </c>
      <c r="B65" t="s">
        <v>117</v>
      </c>
      <c r="C65">
        <v>17.38</v>
      </c>
      <c r="D65">
        <v>12.14</v>
      </c>
      <c r="E65">
        <v>2.11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opLeftCell="A28" workbookViewId="0">
      <selection activeCell="A57" sqref="A1:A57"/>
    </sheetView>
  </sheetViews>
  <sheetFormatPr defaultRowHeight="12.75" x14ac:dyDescent="0.2"/>
  <cols>
    <col min="5" max="7" width="9.7109375" customWidth="1"/>
    <col min="8" max="12" width="10.7109375" customWidth="1"/>
    <col min="13" max="13" width="9.140625" customWidth="1"/>
    <col min="14" max="16" width="10.7109375" customWidth="1"/>
    <col min="17" max="17" width="9.7109375" customWidth="1"/>
    <col min="18" max="18" width="11.5703125" customWidth="1"/>
  </cols>
  <sheetData>
    <row r="1" spans="1:20" s="25" customFormat="1" x14ac:dyDescent="0.2">
      <c r="A1" s="25" t="s">
        <v>105</v>
      </c>
      <c r="B1" s="25" t="s">
        <v>106</v>
      </c>
      <c r="D1" s="26" t="s">
        <v>107</v>
      </c>
      <c r="E1" s="26" t="s">
        <v>108</v>
      </c>
      <c r="F1" s="26" t="s">
        <v>109</v>
      </c>
      <c r="G1" s="26"/>
      <c r="H1" s="25" t="s">
        <v>110</v>
      </c>
      <c r="I1" s="27" t="s">
        <v>111</v>
      </c>
      <c r="J1" s="27">
        <v>42543</v>
      </c>
      <c r="K1" s="27">
        <v>42545</v>
      </c>
      <c r="L1" s="27">
        <v>42546</v>
      </c>
      <c r="M1" s="27">
        <v>42547</v>
      </c>
      <c r="N1" s="25" t="s">
        <v>112</v>
      </c>
      <c r="O1" s="27">
        <v>42549</v>
      </c>
      <c r="P1" s="27">
        <v>42550</v>
      </c>
      <c r="Q1" s="27">
        <v>42551</v>
      </c>
      <c r="R1" s="27">
        <v>42552</v>
      </c>
      <c r="S1" s="25" t="s">
        <v>113</v>
      </c>
      <c r="T1" s="28"/>
    </row>
    <row r="2" spans="1:20" x14ac:dyDescent="0.2">
      <c r="A2">
        <v>1</v>
      </c>
      <c r="B2" t="s">
        <v>114</v>
      </c>
      <c r="D2" s="8">
        <v>1</v>
      </c>
      <c r="E2" s="29">
        <v>1</v>
      </c>
      <c r="F2" s="8" t="s">
        <v>91</v>
      </c>
      <c r="G2" s="8" t="s">
        <v>115</v>
      </c>
      <c r="H2" s="30">
        <v>42524</v>
      </c>
      <c r="I2">
        <v>26</v>
      </c>
      <c r="J2">
        <v>18</v>
      </c>
      <c r="K2">
        <v>33</v>
      </c>
      <c r="L2">
        <v>30</v>
      </c>
      <c r="M2">
        <v>25</v>
      </c>
      <c r="N2">
        <v>36</v>
      </c>
      <c r="O2">
        <v>24</v>
      </c>
      <c r="P2">
        <v>29</v>
      </c>
      <c r="Q2">
        <v>37</v>
      </c>
      <c r="R2">
        <v>25</v>
      </c>
      <c r="S2" s="8">
        <f t="shared" ref="S2:S19" si="0">R2-25</f>
        <v>0</v>
      </c>
      <c r="T2" s="31"/>
    </row>
    <row r="3" spans="1:20" s="32" customFormat="1" x14ac:dyDescent="0.2">
      <c r="A3" s="32">
        <v>1</v>
      </c>
      <c r="B3" s="32" t="s">
        <v>116</v>
      </c>
      <c r="D3" s="33">
        <v>1</v>
      </c>
      <c r="E3" s="34">
        <v>1</v>
      </c>
      <c r="F3" s="33" t="s">
        <v>100</v>
      </c>
      <c r="G3" s="33" t="s">
        <v>117</v>
      </c>
      <c r="H3" s="35">
        <v>42517</v>
      </c>
      <c r="I3" s="32">
        <v>70</v>
      </c>
      <c r="J3" s="32">
        <v>54</v>
      </c>
      <c r="K3" s="32">
        <v>86</v>
      </c>
      <c r="L3" s="32">
        <v>68</v>
      </c>
      <c r="M3" s="32">
        <v>59</v>
      </c>
      <c r="N3" s="32">
        <v>59</v>
      </c>
      <c r="O3" s="32">
        <v>55</v>
      </c>
      <c r="P3" s="32">
        <v>55</v>
      </c>
      <c r="Q3" s="32">
        <v>52</v>
      </c>
      <c r="R3" s="32">
        <v>46</v>
      </c>
      <c r="S3" s="33">
        <f t="shared" si="0"/>
        <v>21</v>
      </c>
      <c r="T3" s="36"/>
    </row>
    <row r="4" spans="1:20" s="32" customFormat="1" x14ac:dyDescent="0.2">
      <c r="A4" s="32">
        <v>2</v>
      </c>
      <c r="B4" s="32" t="s">
        <v>118</v>
      </c>
      <c r="D4" s="33">
        <v>1</v>
      </c>
      <c r="E4" s="34">
        <v>2</v>
      </c>
      <c r="F4" s="33" t="s">
        <v>91</v>
      </c>
      <c r="G4" s="33" t="s">
        <v>117</v>
      </c>
      <c r="H4" s="35">
        <v>42517</v>
      </c>
      <c r="I4" s="32">
        <v>69</v>
      </c>
      <c r="J4" s="32">
        <v>59</v>
      </c>
      <c r="K4" s="32">
        <v>45</v>
      </c>
      <c r="L4" s="32">
        <v>47</v>
      </c>
      <c r="M4" s="32">
        <v>60</v>
      </c>
      <c r="N4" s="32">
        <v>49</v>
      </c>
      <c r="O4" s="32">
        <v>41</v>
      </c>
      <c r="P4" s="32">
        <v>50</v>
      </c>
      <c r="Q4" s="32">
        <v>53</v>
      </c>
      <c r="R4" s="32">
        <v>48</v>
      </c>
      <c r="S4" s="33">
        <f t="shared" si="0"/>
        <v>23</v>
      </c>
      <c r="T4" s="36"/>
    </row>
    <row r="5" spans="1:20" s="32" customFormat="1" x14ac:dyDescent="0.2">
      <c r="A5" s="32">
        <v>2</v>
      </c>
      <c r="B5" s="32" t="s">
        <v>116</v>
      </c>
      <c r="D5" s="33">
        <v>1</v>
      </c>
      <c r="E5" s="34">
        <v>2</v>
      </c>
      <c r="F5" s="33" t="s">
        <v>100</v>
      </c>
      <c r="G5" s="33" t="s">
        <v>117</v>
      </c>
      <c r="H5" s="35">
        <v>42517</v>
      </c>
      <c r="I5" s="32">
        <v>47</v>
      </c>
      <c r="J5" s="32">
        <v>51</v>
      </c>
      <c r="K5" s="32">
        <v>71</v>
      </c>
      <c r="L5" s="32">
        <v>41</v>
      </c>
      <c r="M5" s="32">
        <v>65</v>
      </c>
      <c r="N5" s="32">
        <v>57</v>
      </c>
      <c r="O5" s="32">
        <v>51</v>
      </c>
      <c r="P5" s="32">
        <v>65</v>
      </c>
      <c r="Q5" s="32">
        <v>77</v>
      </c>
      <c r="R5" s="32">
        <v>55</v>
      </c>
      <c r="S5" s="33">
        <f t="shared" si="0"/>
        <v>30</v>
      </c>
      <c r="T5" s="36"/>
    </row>
    <row r="6" spans="1:20" s="32" customFormat="1" x14ac:dyDescent="0.2">
      <c r="A6" s="32">
        <v>3</v>
      </c>
      <c r="B6" s="32" t="s">
        <v>119</v>
      </c>
      <c r="D6" s="33">
        <v>1</v>
      </c>
      <c r="E6" s="34">
        <v>3</v>
      </c>
      <c r="F6" s="33" t="s">
        <v>91</v>
      </c>
      <c r="G6" s="33" t="s">
        <v>117</v>
      </c>
      <c r="H6" s="35">
        <v>42518</v>
      </c>
      <c r="I6" s="32">
        <v>17</v>
      </c>
      <c r="J6" s="32">
        <v>23</v>
      </c>
      <c r="K6" s="32">
        <v>27</v>
      </c>
      <c r="L6" s="32">
        <v>26</v>
      </c>
      <c r="M6" s="32">
        <v>23</v>
      </c>
      <c r="N6" s="32">
        <v>28</v>
      </c>
      <c r="O6" s="32">
        <v>20</v>
      </c>
      <c r="P6" s="32">
        <v>27</v>
      </c>
      <c r="Q6" s="32">
        <v>30</v>
      </c>
      <c r="R6" s="32">
        <v>23</v>
      </c>
      <c r="S6" s="33">
        <f t="shared" si="0"/>
        <v>-2</v>
      </c>
      <c r="T6" s="36"/>
    </row>
    <row r="7" spans="1:20" s="32" customFormat="1" x14ac:dyDescent="0.2">
      <c r="A7" s="32">
        <v>3</v>
      </c>
      <c r="B7" s="32" t="s">
        <v>116</v>
      </c>
      <c r="D7" s="33">
        <v>1</v>
      </c>
      <c r="E7" s="34">
        <v>3</v>
      </c>
      <c r="F7" s="33" t="s">
        <v>100</v>
      </c>
      <c r="G7" s="33" t="s">
        <v>117</v>
      </c>
      <c r="H7" s="35">
        <v>42518</v>
      </c>
      <c r="I7" s="32">
        <v>148</v>
      </c>
      <c r="J7" s="32">
        <v>119</v>
      </c>
      <c r="K7" s="32">
        <v>126</v>
      </c>
      <c r="L7" s="32">
        <v>159</v>
      </c>
      <c r="M7" s="32">
        <v>135</v>
      </c>
      <c r="N7" s="32">
        <v>136</v>
      </c>
      <c r="O7" s="32">
        <v>134</v>
      </c>
      <c r="P7" s="32">
        <v>139</v>
      </c>
      <c r="Q7" s="32">
        <v>147</v>
      </c>
      <c r="R7" s="32">
        <v>96</v>
      </c>
      <c r="S7" s="33">
        <f t="shared" si="0"/>
        <v>71</v>
      </c>
      <c r="T7" s="36"/>
    </row>
    <row r="8" spans="1:20" s="32" customFormat="1" x14ac:dyDescent="0.2">
      <c r="A8" s="32">
        <v>4</v>
      </c>
      <c r="B8" s="32" t="s">
        <v>120</v>
      </c>
      <c r="D8" s="33">
        <v>1</v>
      </c>
      <c r="E8" s="34">
        <v>4</v>
      </c>
      <c r="F8" s="33" t="s">
        <v>91</v>
      </c>
      <c r="G8" s="33" t="s">
        <v>115</v>
      </c>
      <c r="H8" s="35">
        <v>42531</v>
      </c>
      <c r="I8" s="32">
        <v>26</v>
      </c>
      <c r="J8" s="32">
        <v>18</v>
      </c>
      <c r="K8" s="32">
        <v>25</v>
      </c>
      <c r="L8" s="32">
        <v>27</v>
      </c>
      <c r="M8" s="32">
        <v>33</v>
      </c>
      <c r="N8" s="32">
        <v>38</v>
      </c>
      <c r="O8" s="32">
        <v>29</v>
      </c>
      <c r="P8" s="32">
        <v>35</v>
      </c>
      <c r="Q8" s="32">
        <v>32</v>
      </c>
      <c r="R8" s="32">
        <v>24</v>
      </c>
      <c r="S8" s="33">
        <f t="shared" si="0"/>
        <v>-1</v>
      </c>
      <c r="T8" s="36"/>
    </row>
    <row r="9" spans="1:20" s="32" customFormat="1" x14ac:dyDescent="0.2">
      <c r="A9" s="32">
        <v>4</v>
      </c>
      <c r="B9" s="32" t="s">
        <v>116</v>
      </c>
      <c r="D9" s="33">
        <v>1</v>
      </c>
      <c r="E9" s="34">
        <v>4</v>
      </c>
      <c r="F9" s="33" t="s">
        <v>100</v>
      </c>
      <c r="G9" s="33" t="s">
        <v>117</v>
      </c>
      <c r="H9" s="35">
        <v>42519</v>
      </c>
      <c r="I9" s="32">
        <v>45</v>
      </c>
      <c r="J9" s="32">
        <v>27</v>
      </c>
      <c r="K9" s="32">
        <v>69</v>
      </c>
      <c r="L9" s="32">
        <v>48</v>
      </c>
      <c r="M9" s="32">
        <v>78</v>
      </c>
      <c r="N9" s="32">
        <v>71</v>
      </c>
      <c r="O9" s="32">
        <v>53</v>
      </c>
      <c r="P9" s="32">
        <v>59</v>
      </c>
      <c r="Q9" s="32">
        <v>68</v>
      </c>
      <c r="R9" s="32">
        <v>42</v>
      </c>
      <c r="S9" s="33">
        <f t="shared" si="0"/>
        <v>17</v>
      </c>
      <c r="T9" s="36"/>
    </row>
    <row r="10" spans="1:20" s="32" customFormat="1" x14ac:dyDescent="0.2">
      <c r="A10" s="32">
        <v>5</v>
      </c>
      <c r="B10" s="32" t="s">
        <v>121</v>
      </c>
      <c r="D10" s="33">
        <v>1</v>
      </c>
      <c r="E10" s="34">
        <v>5</v>
      </c>
      <c r="F10" s="33" t="s">
        <v>100</v>
      </c>
      <c r="G10" s="33" t="s">
        <v>117</v>
      </c>
      <c r="H10" s="35">
        <v>42516</v>
      </c>
      <c r="I10" s="32">
        <v>23</v>
      </c>
      <c r="J10" s="32">
        <v>18</v>
      </c>
      <c r="K10" s="32">
        <v>24</v>
      </c>
      <c r="L10" s="32">
        <v>18</v>
      </c>
      <c r="M10" s="32">
        <v>23</v>
      </c>
      <c r="N10" s="32">
        <v>27</v>
      </c>
      <c r="O10" s="32">
        <v>22</v>
      </c>
      <c r="P10" s="32">
        <v>22</v>
      </c>
      <c r="Q10" s="32">
        <v>24</v>
      </c>
      <c r="R10" s="32">
        <v>26</v>
      </c>
      <c r="S10" s="33">
        <f t="shared" si="0"/>
        <v>1</v>
      </c>
      <c r="T10" s="36"/>
    </row>
    <row r="11" spans="1:20" s="32" customFormat="1" x14ac:dyDescent="0.2">
      <c r="A11" s="32">
        <v>5</v>
      </c>
      <c r="B11" s="32" t="s">
        <v>122</v>
      </c>
      <c r="D11" s="33">
        <v>1</v>
      </c>
      <c r="E11" s="34">
        <v>5</v>
      </c>
      <c r="F11" s="33" t="s">
        <v>100</v>
      </c>
      <c r="G11" s="33" t="s">
        <v>117</v>
      </c>
      <c r="H11" s="35">
        <v>42519</v>
      </c>
      <c r="I11" s="32">
        <v>22</v>
      </c>
      <c r="J11" s="32">
        <v>22</v>
      </c>
      <c r="K11" s="32">
        <v>29</v>
      </c>
      <c r="L11" s="32">
        <v>25</v>
      </c>
      <c r="M11" s="32">
        <v>23</v>
      </c>
      <c r="N11" s="32">
        <v>28</v>
      </c>
      <c r="O11" s="32">
        <v>23</v>
      </c>
      <c r="P11" s="32">
        <v>26</v>
      </c>
      <c r="Q11" s="32">
        <v>29</v>
      </c>
      <c r="R11" s="32">
        <v>44</v>
      </c>
      <c r="S11" s="33">
        <f t="shared" si="0"/>
        <v>19</v>
      </c>
      <c r="T11" s="36"/>
    </row>
    <row r="12" spans="1:20" s="32" customFormat="1" x14ac:dyDescent="0.2">
      <c r="A12" s="32">
        <v>6</v>
      </c>
      <c r="B12" s="32" t="s">
        <v>123</v>
      </c>
      <c r="D12" s="33">
        <v>1</v>
      </c>
      <c r="E12" s="34">
        <v>6</v>
      </c>
      <c r="F12" s="33" t="s">
        <v>91</v>
      </c>
      <c r="G12" s="33" t="s">
        <v>115</v>
      </c>
      <c r="H12" s="35">
        <v>42524</v>
      </c>
      <c r="I12" s="32">
        <v>29</v>
      </c>
      <c r="J12" s="32">
        <v>23</v>
      </c>
      <c r="K12" s="32">
        <v>19</v>
      </c>
      <c r="L12" s="32">
        <v>20</v>
      </c>
      <c r="M12" s="32">
        <v>22</v>
      </c>
      <c r="N12" s="32">
        <v>19</v>
      </c>
      <c r="O12" s="32">
        <v>19</v>
      </c>
      <c r="P12" s="32">
        <v>30</v>
      </c>
      <c r="Q12" s="32">
        <v>23</v>
      </c>
      <c r="R12" s="32">
        <v>27</v>
      </c>
      <c r="S12" s="33">
        <f t="shared" si="0"/>
        <v>2</v>
      </c>
      <c r="T12" s="36"/>
    </row>
    <row r="13" spans="1:20" s="32" customFormat="1" x14ac:dyDescent="0.2">
      <c r="A13" s="32">
        <v>6</v>
      </c>
      <c r="B13" s="32" t="s">
        <v>124</v>
      </c>
      <c r="D13" s="33">
        <v>1</v>
      </c>
      <c r="E13" s="34">
        <v>6</v>
      </c>
      <c r="F13" s="33" t="s">
        <v>91</v>
      </c>
      <c r="G13" s="33" t="s">
        <v>115</v>
      </c>
      <c r="H13" s="35">
        <v>42522</v>
      </c>
      <c r="I13" s="32">
        <v>27</v>
      </c>
      <c r="J13" s="32">
        <v>20</v>
      </c>
      <c r="K13" s="32">
        <v>27</v>
      </c>
      <c r="L13" s="32">
        <v>25</v>
      </c>
      <c r="M13" s="32">
        <v>23</v>
      </c>
      <c r="N13" s="32">
        <v>19</v>
      </c>
      <c r="O13" s="32">
        <v>20</v>
      </c>
      <c r="P13" s="32">
        <v>22</v>
      </c>
      <c r="Q13" s="32">
        <v>27</v>
      </c>
      <c r="R13" s="32">
        <v>28</v>
      </c>
      <c r="S13" s="33">
        <f t="shared" si="0"/>
        <v>3</v>
      </c>
      <c r="T13" s="36"/>
    </row>
    <row r="14" spans="1:20" s="32" customFormat="1" x14ac:dyDescent="0.2">
      <c r="A14" s="32">
        <v>7</v>
      </c>
      <c r="B14" s="32" t="s">
        <v>125</v>
      </c>
      <c r="D14" s="33">
        <v>1</v>
      </c>
      <c r="E14" s="34">
        <v>7</v>
      </c>
      <c r="F14" s="33" t="s">
        <v>91</v>
      </c>
      <c r="G14" s="33" t="s">
        <v>117</v>
      </c>
      <c r="H14" s="35">
        <v>42523</v>
      </c>
      <c r="I14" s="32">
        <v>18</v>
      </c>
      <c r="J14" s="32">
        <v>22</v>
      </c>
      <c r="K14" s="32">
        <v>33</v>
      </c>
      <c r="L14" s="32">
        <v>23</v>
      </c>
      <c r="M14" s="32">
        <v>20</v>
      </c>
      <c r="N14" s="32">
        <v>16</v>
      </c>
      <c r="O14" s="32">
        <v>36</v>
      </c>
      <c r="P14" s="32">
        <v>22</v>
      </c>
      <c r="Q14" s="32">
        <v>20</v>
      </c>
      <c r="R14" s="32">
        <v>20</v>
      </c>
      <c r="S14" s="33">
        <f t="shared" si="0"/>
        <v>-5</v>
      </c>
      <c r="T14" s="36"/>
    </row>
    <row r="15" spans="1:20" s="32" customFormat="1" x14ac:dyDescent="0.2">
      <c r="A15" s="32">
        <v>7</v>
      </c>
      <c r="B15" s="32" t="s">
        <v>126</v>
      </c>
      <c r="D15" s="33">
        <v>1</v>
      </c>
      <c r="E15" s="34">
        <v>7</v>
      </c>
      <c r="F15" s="33" t="s">
        <v>91</v>
      </c>
      <c r="G15" s="33" t="s">
        <v>117</v>
      </c>
      <c r="H15" s="35">
        <v>42519</v>
      </c>
      <c r="I15" s="32">
        <v>32</v>
      </c>
      <c r="J15" s="32">
        <v>31</v>
      </c>
      <c r="K15" s="32">
        <v>29</v>
      </c>
      <c r="L15" s="32">
        <v>23</v>
      </c>
      <c r="M15" s="32">
        <v>29</v>
      </c>
      <c r="N15" s="32">
        <v>48</v>
      </c>
      <c r="O15" s="32">
        <v>30</v>
      </c>
      <c r="P15" s="32">
        <v>27</v>
      </c>
      <c r="Q15" s="32">
        <v>29</v>
      </c>
      <c r="R15" s="32">
        <v>20</v>
      </c>
      <c r="S15" s="33">
        <f t="shared" si="0"/>
        <v>-5</v>
      </c>
      <c r="T15" s="36"/>
    </row>
    <row r="16" spans="1:20" s="32" customFormat="1" ht="15" x14ac:dyDescent="0.25">
      <c r="A16" s="37">
        <v>8</v>
      </c>
      <c r="B16" s="32" t="s">
        <v>127</v>
      </c>
      <c r="D16" s="33">
        <v>2</v>
      </c>
      <c r="E16" s="34">
        <v>1</v>
      </c>
      <c r="F16" s="33" t="s">
        <v>91</v>
      </c>
      <c r="G16" s="33" t="s">
        <v>115</v>
      </c>
      <c r="H16" s="35">
        <v>42530</v>
      </c>
      <c r="I16" s="32">
        <v>17</v>
      </c>
      <c r="J16" s="32">
        <v>19</v>
      </c>
      <c r="K16" s="32">
        <v>27</v>
      </c>
      <c r="L16" s="32">
        <v>24</v>
      </c>
      <c r="M16" s="32">
        <v>25</v>
      </c>
      <c r="N16" s="32">
        <v>24</v>
      </c>
      <c r="O16" s="32">
        <v>22</v>
      </c>
      <c r="P16" s="32">
        <v>23</v>
      </c>
      <c r="Q16" s="32">
        <v>20</v>
      </c>
      <c r="R16" s="32">
        <v>26</v>
      </c>
      <c r="S16" s="33">
        <f t="shared" si="0"/>
        <v>1</v>
      </c>
      <c r="T16" s="36"/>
    </row>
    <row r="17" spans="1:20" s="32" customFormat="1" ht="15" x14ac:dyDescent="0.25">
      <c r="A17" s="32">
        <v>8</v>
      </c>
      <c r="B17" s="32" t="s">
        <v>128</v>
      </c>
      <c r="D17" s="33">
        <v>2</v>
      </c>
      <c r="E17" s="34">
        <v>1</v>
      </c>
      <c r="F17" s="33" t="s">
        <v>100</v>
      </c>
      <c r="G17" s="33" t="s">
        <v>117</v>
      </c>
      <c r="H17" s="35">
        <v>42517</v>
      </c>
      <c r="I17" s="32">
        <v>40</v>
      </c>
      <c r="J17" s="32">
        <v>41</v>
      </c>
      <c r="K17" s="32">
        <v>45</v>
      </c>
      <c r="L17" s="32">
        <v>69</v>
      </c>
      <c r="M17" s="32">
        <v>52</v>
      </c>
      <c r="N17" s="32">
        <v>59</v>
      </c>
      <c r="O17" s="32">
        <v>60</v>
      </c>
      <c r="P17" s="32">
        <v>53</v>
      </c>
      <c r="Q17" s="32">
        <v>64</v>
      </c>
      <c r="R17" s="32">
        <v>66</v>
      </c>
      <c r="S17" s="33">
        <f t="shared" si="0"/>
        <v>41</v>
      </c>
      <c r="T17" s="36"/>
    </row>
    <row r="18" spans="1:20" s="32" customFormat="1" ht="15" x14ac:dyDescent="0.25">
      <c r="A18" s="32">
        <v>9</v>
      </c>
      <c r="B18" s="32" t="s">
        <v>129</v>
      </c>
      <c r="D18" s="33">
        <v>2</v>
      </c>
      <c r="E18" s="34">
        <v>2</v>
      </c>
      <c r="F18" s="33" t="s">
        <v>91</v>
      </c>
      <c r="G18" s="33" t="s">
        <v>117</v>
      </c>
      <c r="H18" s="35">
        <v>42529</v>
      </c>
      <c r="I18" s="32">
        <v>17</v>
      </c>
      <c r="J18" s="32">
        <v>18</v>
      </c>
      <c r="K18" s="32">
        <v>23</v>
      </c>
      <c r="L18" s="32">
        <v>22</v>
      </c>
      <c r="M18" s="32">
        <v>17</v>
      </c>
      <c r="N18" s="32">
        <v>21</v>
      </c>
      <c r="O18" s="32">
        <v>20</v>
      </c>
      <c r="P18" s="32">
        <v>30</v>
      </c>
      <c r="Q18" s="32">
        <v>24</v>
      </c>
      <c r="R18" s="32">
        <v>30</v>
      </c>
      <c r="S18" s="33">
        <f t="shared" si="0"/>
        <v>5</v>
      </c>
      <c r="T18" s="36"/>
    </row>
    <row r="19" spans="1:20" s="32" customFormat="1" ht="15" x14ac:dyDescent="0.25">
      <c r="A19" s="32">
        <v>9</v>
      </c>
      <c r="B19" s="32" t="s">
        <v>130</v>
      </c>
      <c r="D19" s="33">
        <v>2</v>
      </c>
      <c r="E19" s="34">
        <v>2</v>
      </c>
      <c r="F19" s="33" t="s">
        <v>100</v>
      </c>
      <c r="G19" s="33" t="s">
        <v>117</v>
      </c>
      <c r="H19" s="35">
        <v>42517</v>
      </c>
      <c r="I19" s="32">
        <v>94</v>
      </c>
      <c r="J19" s="32">
        <v>98</v>
      </c>
      <c r="K19" s="32">
        <v>127</v>
      </c>
      <c r="L19" s="32">
        <v>135</v>
      </c>
      <c r="M19" s="32">
        <v>135</v>
      </c>
      <c r="N19" s="32">
        <v>133</v>
      </c>
      <c r="O19" s="32">
        <v>124</v>
      </c>
      <c r="P19" s="32">
        <v>100</v>
      </c>
      <c r="Q19" s="32">
        <v>115</v>
      </c>
      <c r="R19" s="32">
        <v>126</v>
      </c>
      <c r="S19" s="33">
        <f t="shared" si="0"/>
        <v>101</v>
      </c>
      <c r="T19" s="36"/>
    </row>
    <row r="20" spans="1:20" s="32" customFormat="1" ht="15" x14ac:dyDescent="0.25">
      <c r="A20" s="32">
        <v>10</v>
      </c>
      <c r="B20" s="32" t="s">
        <v>131</v>
      </c>
      <c r="D20" s="33">
        <v>2</v>
      </c>
      <c r="E20" s="34">
        <v>3</v>
      </c>
      <c r="F20" s="33" t="s">
        <v>91</v>
      </c>
      <c r="G20" s="33" t="s">
        <v>117</v>
      </c>
      <c r="H20" s="35">
        <v>42518</v>
      </c>
      <c r="I20" s="32">
        <v>20</v>
      </c>
      <c r="J20" s="32">
        <v>17</v>
      </c>
      <c r="K20" s="32">
        <v>29</v>
      </c>
      <c r="L20" s="32">
        <v>24</v>
      </c>
      <c r="M20" s="32">
        <v>32</v>
      </c>
      <c r="N20" s="32">
        <v>29</v>
      </c>
      <c r="O20" s="32">
        <v>22</v>
      </c>
      <c r="P20" s="32">
        <v>25</v>
      </c>
      <c r="Q20" s="32">
        <v>24</v>
      </c>
      <c r="R20" s="32">
        <v>23</v>
      </c>
      <c r="S20" s="38">
        <v>0</v>
      </c>
      <c r="T20" s="36"/>
    </row>
    <row r="21" spans="1:20" s="32" customFormat="1" ht="15" x14ac:dyDescent="0.25">
      <c r="A21" s="32">
        <v>10</v>
      </c>
      <c r="B21" s="32" t="s">
        <v>132</v>
      </c>
      <c r="D21" s="33">
        <v>2</v>
      </c>
      <c r="E21" s="34">
        <v>3</v>
      </c>
      <c r="F21" s="33" t="s">
        <v>100</v>
      </c>
      <c r="G21" s="33" t="s">
        <v>117</v>
      </c>
      <c r="H21" s="35">
        <v>42516</v>
      </c>
      <c r="I21" s="32">
        <v>17</v>
      </c>
      <c r="J21" s="32">
        <v>21</v>
      </c>
      <c r="K21" s="32">
        <v>27</v>
      </c>
      <c r="L21" s="32">
        <v>22</v>
      </c>
      <c r="M21" s="32">
        <v>32</v>
      </c>
      <c r="N21" s="32">
        <v>21</v>
      </c>
      <c r="O21" s="32">
        <v>25</v>
      </c>
      <c r="P21" s="32">
        <v>24</v>
      </c>
      <c r="Q21" s="32">
        <v>29</v>
      </c>
      <c r="R21" s="32">
        <v>26</v>
      </c>
      <c r="S21" s="38">
        <v>0</v>
      </c>
      <c r="T21" s="36"/>
    </row>
    <row r="22" spans="1:20" s="32" customFormat="1" x14ac:dyDescent="0.2">
      <c r="A22" s="32">
        <v>11</v>
      </c>
      <c r="B22" s="32" t="s">
        <v>120</v>
      </c>
      <c r="D22" s="33">
        <v>2</v>
      </c>
      <c r="E22" s="34">
        <v>4</v>
      </c>
      <c r="F22" s="33" t="s">
        <v>91</v>
      </c>
      <c r="G22" s="33" t="s">
        <v>115</v>
      </c>
      <c r="H22" s="35">
        <v>42531</v>
      </c>
      <c r="I22" s="32">
        <v>18</v>
      </c>
      <c r="J22" s="32">
        <v>23</v>
      </c>
      <c r="K22" s="32">
        <v>21</v>
      </c>
      <c r="L22" s="32">
        <v>26</v>
      </c>
      <c r="M22" s="32">
        <v>25</v>
      </c>
      <c r="N22" s="32">
        <v>20</v>
      </c>
      <c r="O22" s="32">
        <v>19</v>
      </c>
      <c r="P22" s="32">
        <v>25</v>
      </c>
      <c r="Q22" s="32">
        <v>20</v>
      </c>
      <c r="R22" s="32">
        <v>19</v>
      </c>
      <c r="S22" s="33">
        <f t="shared" ref="S22:S55" si="1">R22-25</f>
        <v>-6</v>
      </c>
      <c r="T22" s="36"/>
    </row>
    <row r="23" spans="1:20" s="32" customFormat="1" x14ac:dyDescent="0.2">
      <c r="A23" s="32">
        <v>11</v>
      </c>
      <c r="B23" s="32" t="s">
        <v>116</v>
      </c>
      <c r="D23" s="33">
        <v>2</v>
      </c>
      <c r="E23" s="34">
        <v>4</v>
      </c>
      <c r="F23" s="33" t="s">
        <v>100</v>
      </c>
      <c r="G23" s="33" t="s">
        <v>117</v>
      </c>
      <c r="H23" s="35">
        <v>42514</v>
      </c>
      <c r="I23" s="32">
        <v>32</v>
      </c>
      <c r="J23" s="32">
        <v>29</v>
      </c>
      <c r="K23" s="32">
        <v>18</v>
      </c>
      <c r="L23" s="32">
        <v>37</v>
      </c>
      <c r="M23" s="32">
        <v>33</v>
      </c>
      <c r="N23" s="32">
        <v>42</v>
      </c>
      <c r="O23" s="32">
        <v>40</v>
      </c>
      <c r="P23" s="32">
        <v>50</v>
      </c>
      <c r="Q23" s="32">
        <v>54</v>
      </c>
      <c r="R23" s="32">
        <v>64</v>
      </c>
      <c r="S23" s="33">
        <f t="shared" si="1"/>
        <v>39</v>
      </c>
      <c r="T23" s="36"/>
    </row>
    <row r="24" spans="1:20" s="32" customFormat="1" x14ac:dyDescent="0.2">
      <c r="A24" s="32">
        <v>12</v>
      </c>
      <c r="B24" s="32" t="s">
        <v>121</v>
      </c>
      <c r="D24" s="33">
        <v>2</v>
      </c>
      <c r="E24" s="34">
        <v>5</v>
      </c>
      <c r="F24" s="33" t="s">
        <v>100</v>
      </c>
      <c r="G24" s="33" t="s">
        <v>117</v>
      </c>
      <c r="H24" s="35">
        <v>42518</v>
      </c>
      <c r="I24" s="32">
        <v>30</v>
      </c>
      <c r="J24" s="32">
        <v>38</v>
      </c>
      <c r="K24" s="32">
        <v>50</v>
      </c>
      <c r="L24" s="32">
        <v>56</v>
      </c>
      <c r="M24" s="32">
        <v>49</v>
      </c>
      <c r="N24" s="32">
        <v>44</v>
      </c>
      <c r="O24" s="32">
        <v>33</v>
      </c>
      <c r="P24" s="32">
        <v>52</v>
      </c>
      <c r="Q24" s="32">
        <v>55</v>
      </c>
      <c r="R24" s="32">
        <v>82</v>
      </c>
      <c r="S24" s="33">
        <f t="shared" si="1"/>
        <v>57</v>
      </c>
      <c r="T24" s="36"/>
    </row>
    <row r="25" spans="1:20" s="32" customFormat="1" x14ac:dyDescent="0.2">
      <c r="A25" s="32">
        <v>12</v>
      </c>
      <c r="B25" s="32" t="s">
        <v>122</v>
      </c>
      <c r="D25" s="33">
        <v>2</v>
      </c>
      <c r="E25" s="34">
        <v>5</v>
      </c>
      <c r="F25" s="33" t="s">
        <v>100</v>
      </c>
      <c r="G25" s="33" t="s">
        <v>117</v>
      </c>
      <c r="H25" s="35">
        <v>42518</v>
      </c>
      <c r="I25" s="32">
        <v>63</v>
      </c>
      <c r="J25" s="32">
        <v>129</v>
      </c>
      <c r="K25" s="32">
        <v>126</v>
      </c>
      <c r="L25" s="32">
        <v>110</v>
      </c>
      <c r="M25" s="32">
        <v>102</v>
      </c>
      <c r="N25" s="32">
        <v>105</v>
      </c>
      <c r="O25" s="32">
        <v>99</v>
      </c>
      <c r="P25" s="32">
        <v>99</v>
      </c>
      <c r="Q25" s="32">
        <v>86</v>
      </c>
      <c r="R25" s="32">
        <v>89</v>
      </c>
      <c r="S25" s="33">
        <f t="shared" si="1"/>
        <v>64</v>
      </c>
      <c r="T25" s="36"/>
    </row>
    <row r="26" spans="1:20" s="32" customFormat="1" x14ac:dyDescent="0.2">
      <c r="A26" s="32">
        <v>13</v>
      </c>
      <c r="B26" s="32" t="s">
        <v>123</v>
      </c>
      <c r="D26" s="33">
        <v>2</v>
      </c>
      <c r="E26" s="34">
        <v>6</v>
      </c>
      <c r="F26" s="33" t="s">
        <v>91</v>
      </c>
      <c r="G26" s="33" t="s">
        <v>115</v>
      </c>
      <c r="H26" s="35">
        <v>42531</v>
      </c>
      <c r="I26" s="32">
        <v>19</v>
      </c>
      <c r="J26" s="32">
        <v>22</v>
      </c>
      <c r="K26" s="32">
        <v>23</v>
      </c>
      <c r="L26" s="32">
        <v>23</v>
      </c>
      <c r="M26" s="32">
        <v>32</v>
      </c>
      <c r="N26" s="32">
        <v>25</v>
      </c>
      <c r="O26" s="32">
        <v>27</v>
      </c>
      <c r="P26" s="32">
        <v>20</v>
      </c>
      <c r="Q26" s="32">
        <v>21</v>
      </c>
      <c r="R26" s="32">
        <v>23</v>
      </c>
      <c r="S26" s="33">
        <f t="shared" si="1"/>
        <v>-2</v>
      </c>
      <c r="T26" s="36"/>
    </row>
    <row r="27" spans="1:20" s="32" customFormat="1" x14ac:dyDescent="0.2">
      <c r="A27" s="32">
        <v>13</v>
      </c>
      <c r="B27" s="32" t="s">
        <v>124</v>
      </c>
      <c r="D27" s="33">
        <v>2</v>
      </c>
      <c r="E27" s="34">
        <v>6</v>
      </c>
      <c r="F27" s="33" t="s">
        <v>91</v>
      </c>
      <c r="G27" s="33" t="s">
        <v>115</v>
      </c>
      <c r="H27" s="35">
        <v>42531</v>
      </c>
      <c r="I27" s="32">
        <v>25</v>
      </c>
      <c r="J27" s="32">
        <v>22</v>
      </c>
      <c r="K27" s="32">
        <v>30</v>
      </c>
      <c r="L27" s="32">
        <v>39</v>
      </c>
      <c r="M27" s="32">
        <v>35</v>
      </c>
      <c r="N27" s="32">
        <v>23</v>
      </c>
      <c r="O27" s="32">
        <v>37</v>
      </c>
      <c r="P27" s="32">
        <v>30</v>
      </c>
      <c r="Q27" s="32">
        <v>29</v>
      </c>
      <c r="R27" s="32">
        <v>27</v>
      </c>
      <c r="S27" s="33">
        <f t="shared" si="1"/>
        <v>2</v>
      </c>
      <c r="T27" s="36"/>
    </row>
    <row r="28" spans="1:20" s="32" customFormat="1" x14ac:dyDescent="0.2">
      <c r="A28" s="32">
        <v>14</v>
      </c>
      <c r="B28" s="32" t="s">
        <v>125</v>
      </c>
      <c r="D28" s="33">
        <v>2</v>
      </c>
      <c r="E28" s="34">
        <v>7</v>
      </c>
      <c r="F28" s="33" t="s">
        <v>91</v>
      </c>
      <c r="G28" s="33" t="s">
        <v>117</v>
      </c>
      <c r="H28" s="35">
        <v>42521</v>
      </c>
      <c r="I28" s="32">
        <v>25</v>
      </c>
      <c r="J28" s="32">
        <v>20</v>
      </c>
      <c r="K28" s="32">
        <v>13</v>
      </c>
      <c r="L28" s="32">
        <v>18</v>
      </c>
      <c r="M28" s="32">
        <v>31</v>
      </c>
      <c r="N28" s="32">
        <v>22</v>
      </c>
      <c r="O28" s="32">
        <v>23</v>
      </c>
      <c r="P28" s="32">
        <v>29</v>
      </c>
      <c r="Q28" s="32">
        <v>24</v>
      </c>
      <c r="R28" s="32">
        <v>19</v>
      </c>
      <c r="S28" s="33">
        <f t="shared" si="1"/>
        <v>-6</v>
      </c>
      <c r="T28" s="36"/>
    </row>
    <row r="29" spans="1:20" s="32" customFormat="1" x14ac:dyDescent="0.2">
      <c r="A29" s="32">
        <v>14</v>
      </c>
      <c r="B29" s="32" t="s">
        <v>126</v>
      </c>
      <c r="D29" s="33">
        <v>3</v>
      </c>
      <c r="E29" s="34">
        <v>7</v>
      </c>
      <c r="F29" s="33" t="s">
        <v>91</v>
      </c>
      <c r="G29" s="33" t="s">
        <v>117</v>
      </c>
      <c r="H29" s="35">
        <v>42521</v>
      </c>
      <c r="I29" s="32">
        <v>28</v>
      </c>
      <c r="J29" s="32">
        <v>33</v>
      </c>
      <c r="K29" s="32">
        <v>24</v>
      </c>
      <c r="L29" s="32">
        <v>28</v>
      </c>
      <c r="M29" s="32">
        <v>22</v>
      </c>
      <c r="N29" s="32">
        <v>19</v>
      </c>
      <c r="O29" s="32">
        <v>19</v>
      </c>
      <c r="P29" s="32">
        <v>21</v>
      </c>
      <c r="Q29" s="32">
        <v>27</v>
      </c>
      <c r="R29" s="32">
        <v>20</v>
      </c>
      <c r="S29" s="33">
        <f t="shared" si="1"/>
        <v>-5</v>
      </c>
      <c r="T29" s="36"/>
    </row>
    <row r="30" spans="1:20" s="32" customFormat="1" x14ac:dyDescent="0.2">
      <c r="A30" s="32">
        <v>15</v>
      </c>
      <c r="B30" s="32" t="s">
        <v>114</v>
      </c>
      <c r="D30" s="33">
        <v>3</v>
      </c>
      <c r="E30" s="34">
        <v>1</v>
      </c>
      <c r="F30" s="33" t="s">
        <v>91</v>
      </c>
      <c r="G30" s="33" t="s">
        <v>115</v>
      </c>
      <c r="H30" s="35">
        <v>42531</v>
      </c>
      <c r="I30" s="32">
        <v>26</v>
      </c>
      <c r="J30" s="32">
        <v>30</v>
      </c>
      <c r="K30" s="32">
        <v>47</v>
      </c>
      <c r="L30" s="32">
        <v>40</v>
      </c>
      <c r="M30" s="32">
        <v>55</v>
      </c>
      <c r="N30" s="32">
        <v>57</v>
      </c>
      <c r="O30" s="32">
        <v>45</v>
      </c>
      <c r="P30" s="32">
        <v>45</v>
      </c>
      <c r="Q30" s="32">
        <v>54</v>
      </c>
      <c r="R30" s="32">
        <v>72</v>
      </c>
      <c r="S30" s="33">
        <f t="shared" si="1"/>
        <v>47</v>
      </c>
      <c r="T30" s="36"/>
    </row>
    <row r="31" spans="1:20" s="32" customFormat="1" x14ac:dyDescent="0.2">
      <c r="A31" s="32">
        <v>15</v>
      </c>
      <c r="B31" s="32" t="s">
        <v>116</v>
      </c>
      <c r="D31" s="33">
        <v>3</v>
      </c>
      <c r="E31" s="34">
        <v>1</v>
      </c>
      <c r="F31" s="33" t="s">
        <v>100</v>
      </c>
      <c r="G31" s="33" t="s">
        <v>117</v>
      </c>
      <c r="H31" s="35">
        <v>42516</v>
      </c>
      <c r="I31" s="32">
        <v>39</v>
      </c>
      <c r="J31" s="32">
        <v>30</v>
      </c>
      <c r="K31" s="32">
        <v>30</v>
      </c>
      <c r="L31" s="32">
        <v>37</v>
      </c>
      <c r="M31" s="32">
        <v>55</v>
      </c>
      <c r="N31" s="32">
        <v>42</v>
      </c>
      <c r="O31" s="32">
        <v>48</v>
      </c>
      <c r="P31" s="32">
        <v>45</v>
      </c>
      <c r="Q31" s="32">
        <v>40</v>
      </c>
      <c r="R31" s="32">
        <v>48</v>
      </c>
      <c r="S31" s="33">
        <f t="shared" si="1"/>
        <v>23</v>
      </c>
      <c r="T31" s="36"/>
    </row>
    <row r="32" spans="1:20" s="32" customFormat="1" x14ac:dyDescent="0.2">
      <c r="A32" s="32">
        <v>16</v>
      </c>
      <c r="B32" s="32" t="s">
        <v>118</v>
      </c>
      <c r="D32" s="33">
        <v>3</v>
      </c>
      <c r="E32" s="34">
        <v>2</v>
      </c>
      <c r="F32" s="33" t="s">
        <v>91</v>
      </c>
      <c r="G32" s="33" t="s">
        <v>117</v>
      </c>
      <c r="H32" s="35">
        <v>42528</v>
      </c>
      <c r="I32" s="32">
        <v>19</v>
      </c>
      <c r="J32" s="32">
        <v>17</v>
      </c>
      <c r="K32" s="32">
        <v>20</v>
      </c>
      <c r="L32" s="32">
        <v>23</v>
      </c>
      <c r="M32" s="32">
        <v>22</v>
      </c>
      <c r="N32" s="32">
        <v>25</v>
      </c>
      <c r="O32" s="32">
        <v>25</v>
      </c>
      <c r="P32" s="32">
        <v>26</v>
      </c>
      <c r="Q32" s="32">
        <v>25</v>
      </c>
      <c r="R32" s="32">
        <v>26</v>
      </c>
      <c r="S32" s="33">
        <f t="shared" si="1"/>
        <v>1</v>
      </c>
      <c r="T32" s="36"/>
    </row>
    <row r="33" spans="1:20" s="32" customFormat="1" x14ac:dyDescent="0.2">
      <c r="A33" s="32">
        <v>16</v>
      </c>
      <c r="B33" s="32" t="s">
        <v>116</v>
      </c>
      <c r="D33" s="33">
        <v>3</v>
      </c>
      <c r="E33" s="34">
        <v>2</v>
      </c>
      <c r="F33" s="33" t="s">
        <v>100</v>
      </c>
      <c r="G33" s="33" t="s">
        <v>117</v>
      </c>
      <c r="H33" s="35">
        <v>42517</v>
      </c>
      <c r="I33" s="32">
        <v>40</v>
      </c>
      <c r="J33" s="32">
        <v>55</v>
      </c>
      <c r="K33" s="32">
        <v>50</v>
      </c>
      <c r="L33" s="32">
        <v>57</v>
      </c>
      <c r="M33" s="32">
        <v>36</v>
      </c>
      <c r="N33" s="32">
        <v>46</v>
      </c>
      <c r="O33" s="32">
        <v>42</v>
      </c>
      <c r="P33" s="32">
        <v>56</v>
      </c>
      <c r="Q33" s="32">
        <v>39</v>
      </c>
      <c r="R33" s="32">
        <v>40</v>
      </c>
      <c r="S33" s="33">
        <f t="shared" si="1"/>
        <v>15</v>
      </c>
      <c r="T33" s="36"/>
    </row>
    <row r="34" spans="1:20" s="32" customFormat="1" x14ac:dyDescent="0.2">
      <c r="A34" s="32">
        <v>17</v>
      </c>
      <c r="B34" s="32" t="s">
        <v>119</v>
      </c>
      <c r="D34" s="33">
        <v>3</v>
      </c>
      <c r="E34" s="34">
        <v>3</v>
      </c>
      <c r="F34" s="33" t="s">
        <v>91</v>
      </c>
      <c r="G34" s="33" t="s">
        <v>117</v>
      </c>
      <c r="H34" s="35">
        <v>42522</v>
      </c>
      <c r="I34" s="32">
        <v>31</v>
      </c>
      <c r="J34" s="32">
        <v>24</v>
      </c>
      <c r="K34" s="32">
        <v>23</v>
      </c>
      <c r="L34" s="32">
        <v>23</v>
      </c>
      <c r="M34" s="32">
        <v>28</v>
      </c>
      <c r="N34" s="32">
        <v>25</v>
      </c>
      <c r="O34" s="32">
        <v>26</v>
      </c>
      <c r="P34" s="32">
        <v>28</v>
      </c>
      <c r="Q34" s="32">
        <v>31</v>
      </c>
      <c r="R34" s="32">
        <v>29</v>
      </c>
      <c r="S34" s="33">
        <f t="shared" si="1"/>
        <v>4</v>
      </c>
      <c r="T34" s="36"/>
    </row>
    <row r="35" spans="1:20" s="32" customFormat="1" x14ac:dyDescent="0.2">
      <c r="A35" s="32">
        <v>17</v>
      </c>
      <c r="B35" s="32" t="s">
        <v>116</v>
      </c>
      <c r="D35" s="33">
        <v>3</v>
      </c>
      <c r="E35" s="34">
        <v>3</v>
      </c>
      <c r="F35" s="33" t="s">
        <v>100</v>
      </c>
      <c r="G35" s="33" t="s">
        <v>117</v>
      </c>
      <c r="H35" s="35">
        <v>42518</v>
      </c>
      <c r="I35" s="32">
        <v>20</v>
      </c>
      <c r="J35" s="32">
        <v>20</v>
      </c>
      <c r="K35" s="32">
        <v>16</v>
      </c>
      <c r="L35" s="32">
        <v>23</v>
      </c>
      <c r="M35" s="32">
        <v>22</v>
      </c>
      <c r="N35" s="32">
        <v>19</v>
      </c>
      <c r="O35" s="32">
        <v>18</v>
      </c>
      <c r="P35" s="32">
        <v>19</v>
      </c>
      <c r="Q35" s="32">
        <v>23</v>
      </c>
      <c r="R35" s="32">
        <v>21</v>
      </c>
      <c r="S35" s="33">
        <f t="shared" si="1"/>
        <v>-4</v>
      </c>
      <c r="T35" s="36"/>
    </row>
    <row r="36" spans="1:20" s="32" customFormat="1" x14ac:dyDescent="0.2">
      <c r="A36" s="32">
        <v>18</v>
      </c>
      <c r="B36" s="32" t="s">
        <v>120</v>
      </c>
      <c r="D36" s="33">
        <v>3</v>
      </c>
      <c r="E36" s="34">
        <v>4</v>
      </c>
      <c r="F36" s="33" t="s">
        <v>91</v>
      </c>
      <c r="G36" s="33" t="s">
        <v>115</v>
      </c>
      <c r="H36" s="35">
        <v>42518</v>
      </c>
      <c r="I36" s="32">
        <v>25</v>
      </c>
      <c r="J36" s="32">
        <v>34</v>
      </c>
      <c r="K36" s="32">
        <v>22</v>
      </c>
      <c r="L36" s="32">
        <v>21</v>
      </c>
      <c r="M36" s="32">
        <v>34</v>
      </c>
      <c r="N36" s="32">
        <v>24</v>
      </c>
      <c r="O36" s="32">
        <v>23</v>
      </c>
      <c r="P36" s="32">
        <v>35</v>
      </c>
      <c r="Q36" s="32">
        <v>33</v>
      </c>
      <c r="R36" s="32">
        <v>37</v>
      </c>
      <c r="S36" s="33">
        <f t="shared" si="1"/>
        <v>12</v>
      </c>
      <c r="T36" s="36"/>
    </row>
    <row r="37" spans="1:20" s="32" customFormat="1" x14ac:dyDescent="0.2">
      <c r="A37" s="32">
        <v>18</v>
      </c>
      <c r="B37" s="32" t="s">
        <v>116</v>
      </c>
      <c r="D37" s="33">
        <v>3</v>
      </c>
      <c r="E37" s="34">
        <v>4</v>
      </c>
      <c r="F37" s="33" t="s">
        <v>100</v>
      </c>
      <c r="G37" s="33" t="s">
        <v>117</v>
      </c>
      <c r="H37" s="35">
        <v>42518</v>
      </c>
      <c r="I37" s="32">
        <v>35</v>
      </c>
      <c r="J37" s="32">
        <v>22</v>
      </c>
      <c r="K37" s="32">
        <v>24</v>
      </c>
      <c r="L37" s="32">
        <v>25</v>
      </c>
      <c r="M37" s="32">
        <v>25</v>
      </c>
      <c r="N37" s="32">
        <v>20</v>
      </c>
      <c r="O37" s="32">
        <v>28</v>
      </c>
      <c r="P37" s="32">
        <v>39</v>
      </c>
      <c r="Q37" s="32">
        <v>34</v>
      </c>
      <c r="R37" s="32">
        <v>26</v>
      </c>
      <c r="S37" s="33">
        <f t="shared" si="1"/>
        <v>1</v>
      </c>
      <c r="T37" s="36"/>
    </row>
    <row r="38" spans="1:20" s="32" customFormat="1" x14ac:dyDescent="0.2">
      <c r="A38" s="32">
        <v>19</v>
      </c>
      <c r="B38" s="32" t="s">
        <v>121</v>
      </c>
      <c r="D38" s="33">
        <v>3</v>
      </c>
      <c r="E38" s="34">
        <v>5</v>
      </c>
      <c r="F38" s="33" t="s">
        <v>100</v>
      </c>
      <c r="G38" s="33" t="s">
        <v>117</v>
      </c>
      <c r="H38" s="35">
        <v>42523</v>
      </c>
      <c r="I38" s="32">
        <v>28</v>
      </c>
      <c r="J38" s="32">
        <v>17</v>
      </c>
      <c r="K38" s="32">
        <v>23</v>
      </c>
      <c r="L38" s="32">
        <v>25</v>
      </c>
      <c r="M38" s="32">
        <v>34</v>
      </c>
      <c r="N38" s="32">
        <v>40</v>
      </c>
      <c r="O38" s="32">
        <v>32</v>
      </c>
      <c r="P38" s="32">
        <v>41</v>
      </c>
      <c r="Q38" s="32">
        <v>38</v>
      </c>
      <c r="R38" s="32">
        <v>31</v>
      </c>
      <c r="S38" s="33">
        <f t="shared" si="1"/>
        <v>6</v>
      </c>
      <c r="T38" s="36"/>
    </row>
    <row r="39" spans="1:20" s="32" customFormat="1" x14ac:dyDescent="0.2">
      <c r="A39" s="32">
        <v>19</v>
      </c>
      <c r="B39" s="32" t="s">
        <v>122</v>
      </c>
      <c r="D39" s="33">
        <v>3</v>
      </c>
      <c r="E39" s="34">
        <v>5</v>
      </c>
      <c r="F39" s="33" t="s">
        <v>100</v>
      </c>
      <c r="G39" s="33" t="s">
        <v>117</v>
      </c>
      <c r="H39" s="35">
        <v>42519</v>
      </c>
      <c r="I39" s="32">
        <v>21</v>
      </c>
      <c r="J39" s="32">
        <v>19</v>
      </c>
      <c r="K39" s="32">
        <v>26</v>
      </c>
      <c r="L39" s="32">
        <v>25</v>
      </c>
      <c r="M39" s="32">
        <v>19</v>
      </c>
      <c r="N39" s="32">
        <v>23</v>
      </c>
      <c r="O39" s="32">
        <v>18</v>
      </c>
      <c r="P39" s="32">
        <v>17</v>
      </c>
      <c r="Q39" s="32">
        <v>20</v>
      </c>
      <c r="R39" s="32">
        <v>30</v>
      </c>
      <c r="S39" s="33">
        <f t="shared" si="1"/>
        <v>5</v>
      </c>
      <c r="T39" s="36"/>
    </row>
    <row r="40" spans="1:20" s="32" customFormat="1" x14ac:dyDescent="0.2">
      <c r="A40" s="32">
        <v>20</v>
      </c>
      <c r="B40" s="32" t="s">
        <v>123</v>
      </c>
      <c r="D40" s="33">
        <v>3</v>
      </c>
      <c r="E40" s="34">
        <v>6</v>
      </c>
      <c r="F40" s="33" t="s">
        <v>91</v>
      </c>
      <c r="G40" s="33" t="s">
        <v>115</v>
      </c>
      <c r="H40" s="35">
        <v>42519</v>
      </c>
      <c r="I40" s="32">
        <v>29</v>
      </c>
      <c r="J40" s="32">
        <v>26</v>
      </c>
      <c r="K40" s="32">
        <v>29</v>
      </c>
      <c r="L40" s="32">
        <v>29</v>
      </c>
      <c r="M40" s="32">
        <v>20</v>
      </c>
      <c r="N40" s="32">
        <v>18</v>
      </c>
      <c r="O40" s="32">
        <v>22</v>
      </c>
      <c r="P40" s="32">
        <v>18</v>
      </c>
      <c r="Q40" s="32">
        <v>20</v>
      </c>
      <c r="R40" s="32">
        <v>35</v>
      </c>
      <c r="S40" s="33">
        <f t="shared" si="1"/>
        <v>10</v>
      </c>
      <c r="T40" s="36"/>
    </row>
    <row r="41" spans="1:20" s="32" customFormat="1" x14ac:dyDescent="0.2">
      <c r="A41" s="32">
        <v>20</v>
      </c>
      <c r="B41" s="32" t="s">
        <v>124</v>
      </c>
      <c r="D41" s="33">
        <v>3</v>
      </c>
      <c r="E41" s="34">
        <v>6</v>
      </c>
      <c r="F41" s="33" t="s">
        <v>91</v>
      </c>
      <c r="G41" s="33" t="s">
        <v>115</v>
      </c>
      <c r="H41" s="35">
        <v>42530</v>
      </c>
      <c r="I41" s="32">
        <v>26</v>
      </c>
      <c r="J41" s="32">
        <v>24</v>
      </c>
      <c r="K41" s="32">
        <v>23</v>
      </c>
      <c r="L41" s="32">
        <v>26</v>
      </c>
      <c r="M41" s="32">
        <v>22</v>
      </c>
      <c r="N41" s="32">
        <v>29</v>
      </c>
      <c r="O41" s="32">
        <v>25</v>
      </c>
      <c r="P41" s="32">
        <v>25</v>
      </c>
      <c r="Q41" s="32">
        <v>30</v>
      </c>
      <c r="R41" s="32">
        <v>27</v>
      </c>
      <c r="S41" s="33">
        <f t="shared" si="1"/>
        <v>2</v>
      </c>
      <c r="T41" s="36"/>
    </row>
    <row r="42" spans="1:20" s="32" customFormat="1" x14ac:dyDescent="0.2">
      <c r="A42" s="32">
        <v>21</v>
      </c>
      <c r="B42" s="32" t="s">
        <v>125</v>
      </c>
      <c r="D42" s="33">
        <v>3</v>
      </c>
      <c r="E42" s="34">
        <v>7</v>
      </c>
      <c r="F42" s="33" t="s">
        <v>91</v>
      </c>
      <c r="G42" s="33" t="s">
        <v>117</v>
      </c>
      <c r="H42" s="35">
        <v>42524</v>
      </c>
      <c r="I42" s="32">
        <v>23</v>
      </c>
      <c r="J42" s="32">
        <v>26</v>
      </c>
      <c r="K42" s="32">
        <v>27</v>
      </c>
      <c r="L42" s="32">
        <v>22</v>
      </c>
      <c r="M42" s="32">
        <v>39</v>
      </c>
      <c r="N42" s="32">
        <v>27</v>
      </c>
      <c r="O42" s="32">
        <v>38</v>
      </c>
      <c r="P42" s="32">
        <v>27</v>
      </c>
      <c r="Q42" s="32">
        <v>26</v>
      </c>
      <c r="R42" s="32">
        <v>26</v>
      </c>
      <c r="S42" s="33">
        <f t="shared" si="1"/>
        <v>1</v>
      </c>
      <c r="T42" s="39">
        <f>(S38+S40+S42)/3</f>
        <v>5.666666666666667</v>
      </c>
    </row>
    <row r="43" spans="1:20" s="32" customFormat="1" x14ac:dyDescent="0.2">
      <c r="A43" s="32">
        <v>21</v>
      </c>
      <c r="B43" s="32" t="s">
        <v>126</v>
      </c>
      <c r="D43" s="33">
        <v>3</v>
      </c>
      <c r="E43" s="34">
        <v>7</v>
      </c>
      <c r="F43" s="33" t="s">
        <v>91</v>
      </c>
      <c r="G43" s="33" t="s">
        <v>117</v>
      </c>
      <c r="H43" s="35">
        <v>42522</v>
      </c>
      <c r="I43" s="32">
        <v>25</v>
      </c>
      <c r="J43" s="32">
        <v>21</v>
      </c>
      <c r="K43" s="32">
        <v>27</v>
      </c>
      <c r="L43" s="32">
        <v>23</v>
      </c>
      <c r="M43" s="32">
        <v>20</v>
      </c>
      <c r="N43" s="32">
        <v>19</v>
      </c>
      <c r="O43" s="32">
        <v>31</v>
      </c>
      <c r="P43" s="32">
        <v>22</v>
      </c>
      <c r="Q43" s="32">
        <v>26</v>
      </c>
      <c r="R43" s="32">
        <v>23</v>
      </c>
      <c r="S43" s="33">
        <f t="shared" si="1"/>
        <v>-2</v>
      </c>
      <c r="T43" s="39">
        <f>(S39+S41+S43)/3</f>
        <v>1.6666666666666667</v>
      </c>
    </row>
    <row r="44" spans="1:20" s="32" customFormat="1" x14ac:dyDescent="0.2">
      <c r="A44" s="32">
        <v>22</v>
      </c>
      <c r="B44" s="32" t="s">
        <v>114</v>
      </c>
      <c r="D44" s="33">
        <v>4</v>
      </c>
      <c r="E44" s="34">
        <v>1</v>
      </c>
      <c r="F44" s="33" t="s">
        <v>91</v>
      </c>
      <c r="G44" s="33" t="s">
        <v>115</v>
      </c>
      <c r="H44" s="35">
        <v>42530</v>
      </c>
      <c r="I44" s="32">
        <v>24</v>
      </c>
      <c r="J44" s="32">
        <v>25</v>
      </c>
      <c r="K44" s="32">
        <v>19</v>
      </c>
      <c r="L44" s="32">
        <v>22</v>
      </c>
      <c r="M44" s="32">
        <v>19</v>
      </c>
      <c r="N44" s="32">
        <v>17</v>
      </c>
      <c r="O44" s="32">
        <v>20</v>
      </c>
      <c r="P44" s="32">
        <v>20</v>
      </c>
      <c r="Q44" s="32">
        <v>25</v>
      </c>
      <c r="R44" s="32">
        <v>24</v>
      </c>
      <c r="S44" s="33">
        <f t="shared" si="1"/>
        <v>-1</v>
      </c>
      <c r="T44" s="39">
        <f>(S38+S40+S42+S44)/4</f>
        <v>4</v>
      </c>
    </row>
    <row r="45" spans="1:20" s="32" customFormat="1" x14ac:dyDescent="0.2">
      <c r="A45" s="32">
        <v>22</v>
      </c>
      <c r="B45" s="32" t="s">
        <v>116</v>
      </c>
      <c r="D45" s="33">
        <v>4</v>
      </c>
      <c r="E45" s="34">
        <v>1</v>
      </c>
      <c r="F45" s="33" t="s">
        <v>100</v>
      </c>
      <c r="G45" s="33" t="s">
        <v>117</v>
      </c>
      <c r="H45" s="35">
        <v>42519</v>
      </c>
      <c r="I45" s="32">
        <v>29</v>
      </c>
      <c r="J45" s="32">
        <v>24</v>
      </c>
      <c r="K45" s="32">
        <v>35</v>
      </c>
      <c r="L45" s="32">
        <v>21</v>
      </c>
      <c r="M45" s="32">
        <v>28</v>
      </c>
      <c r="N45" s="32">
        <v>30</v>
      </c>
      <c r="O45" s="32">
        <v>27</v>
      </c>
      <c r="P45" s="32">
        <v>30</v>
      </c>
      <c r="Q45" s="32">
        <v>24</v>
      </c>
      <c r="R45" s="32">
        <v>28</v>
      </c>
      <c r="S45" s="33">
        <f t="shared" si="1"/>
        <v>3</v>
      </c>
      <c r="T45" s="39">
        <f>(S39+S41+S43+S45)/4</f>
        <v>2</v>
      </c>
    </row>
    <row r="46" spans="1:20" s="32" customFormat="1" x14ac:dyDescent="0.2">
      <c r="A46" s="32">
        <v>23</v>
      </c>
      <c r="B46" s="32" t="s">
        <v>118</v>
      </c>
      <c r="D46" s="33">
        <v>4</v>
      </c>
      <c r="E46" s="34">
        <v>2</v>
      </c>
      <c r="F46" s="33" t="s">
        <v>91</v>
      </c>
      <c r="G46" s="33" t="s">
        <v>117</v>
      </c>
      <c r="H46" s="35">
        <v>42519</v>
      </c>
      <c r="I46" s="32">
        <v>38</v>
      </c>
      <c r="J46" s="32">
        <v>37</v>
      </c>
      <c r="K46" s="32">
        <v>63</v>
      </c>
      <c r="L46" s="32">
        <v>55</v>
      </c>
      <c r="M46" s="32">
        <v>60</v>
      </c>
      <c r="N46" s="32">
        <v>70</v>
      </c>
      <c r="O46" s="32">
        <v>40</v>
      </c>
      <c r="P46" s="32">
        <v>60</v>
      </c>
      <c r="Q46" s="32">
        <v>56</v>
      </c>
      <c r="R46" s="32">
        <v>56</v>
      </c>
      <c r="S46" s="33">
        <f t="shared" si="1"/>
        <v>31</v>
      </c>
      <c r="T46" s="39">
        <f>(S40+S42+S44+S46)/4</f>
        <v>10.25</v>
      </c>
    </row>
    <row r="47" spans="1:20" s="32" customFormat="1" x14ac:dyDescent="0.2">
      <c r="A47" s="32">
        <v>23</v>
      </c>
      <c r="B47" s="32" t="s">
        <v>116</v>
      </c>
      <c r="D47" s="33">
        <v>4</v>
      </c>
      <c r="E47" s="34">
        <v>2</v>
      </c>
      <c r="F47" s="33" t="s">
        <v>100</v>
      </c>
      <c r="G47" s="33" t="s">
        <v>117</v>
      </c>
      <c r="H47" s="35">
        <v>42524</v>
      </c>
      <c r="I47" s="32">
        <v>28</v>
      </c>
      <c r="J47" s="32">
        <v>29</v>
      </c>
      <c r="K47" s="32">
        <v>21</v>
      </c>
      <c r="L47" s="32">
        <v>20</v>
      </c>
      <c r="M47" s="32">
        <v>23</v>
      </c>
      <c r="N47" s="32">
        <v>18</v>
      </c>
      <c r="O47" s="32">
        <v>24</v>
      </c>
      <c r="P47" s="32">
        <v>18</v>
      </c>
      <c r="Q47" s="32">
        <v>20</v>
      </c>
      <c r="R47" s="32">
        <v>23</v>
      </c>
      <c r="S47" s="33">
        <f t="shared" si="1"/>
        <v>-2</v>
      </c>
      <c r="T47" s="39">
        <f>(S41+S43+S45+S47)/4</f>
        <v>0.25</v>
      </c>
    </row>
    <row r="48" spans="1:20" s="32" customFormat="1" x14ac:dyDescent="0.2">
      <c r="A48" s="32">
        <v>24</v>
      </c>
      <c r="B48" s="32" t="s">
        <v>119</v>
      </c>
      <c r="D48" s="33">
        <v>4</v>
      </c>
      <c r="E48" s="34">
        <v>3</v>
      </c>
      <c r="F48" s="33" t="s">
        <v>91</v>
      </c>
      <c r="G48" s="33" t="s">
        <v>117</v>
      </c>
      <c r="H48" s="35">
        <v>42515</v>
      </c>
      <c r="I48" s="32">
        <v>38</v>
      </c>
      <c r="J48" s="32">
        <v>55</v>
      </c>
      <c r="K48" s="32">
        <v>31</v>
      </c>
      <c r="L48" s="32">
        <v>30</v>
      </c>
      <c r="M48" s="32">
        <v>28</v>
      </c>
      <c r="N48" s="32">
        <v>39</v>
      </c>
      <c r="O48" s="32">
        <v>28</v>
      </c>
      <c r="P48" s="32">
        <v>26</v>
      </c>
      <c r="Q48" s="32">
        <v>29</v>
      </c>
      <c r="R48" s="32">
        <v>27</v>
      </c>
      <c r="S48" s="33">
        <f t="shared" si="1"/>
        <v>2</v>
      </c>
      <c r="T48" s="39">
        <f>(S42+S46+S48)/3</f>
        <v>11.333333333333334</v>
      </c>
    </row>
    <row r="49" spans="1:20" s="32" customFormat="1" x14ac:dyDescent="0.2">
      <c r="A49" s="32">
        <v>24</v>
      </c>
      <c r="B49" s="32" t="s">
        <v>116</v>
      </c>
      <c r="D49" s="33">
        <v>4</v>
      </c>
      <c r="E49" s="34">
        <v>3</v>
      </c>
      <c r="F49" s="33" t="s">
        <v>100</v>
      </c>
      <c r="G49" s="33" t="s">
        <v>117</v>
      </c>
      <c r="H49" s="35">
        <v>42518</v>
      </c>
      <c r="I49" s="32">
        <v>27</v>
      </c>
      <c r="J49" s="32">
        <v>26</v>
      </c>
      <c r="K49" s="32">
        <v>28</v>
      </c>
      <c r="L49" s="32">
        <v>23</v>
      </c>
      <c r="M49" s="32">
        <v>27</v>
      </c>
      <c r="N49" s="32">
        <v>22</v>
      </c>
      <c r="O49" s="32">
        <v>35</v>
      </c>
      <c r="P49" s="32">
        <v>24</v>
      </c>
      <c r="Q49" s="32">
        <v>25</v>
      </c>
      <c r="R49" s="32">
        <v>30</v>
      </c>
      <c r="S49" s="33">
        <f t="shared" si="1"/>
        <v>5</v>
      </c>
      <c r="T49" s="39">
        <f>(S43+S47+S49)/3</f>
        <v>0.33333333333333331</v>
      </c>
    </row>
    <row r="50" spans="1:20" s="32" customFormat="1" x14ac:dyDescent="0.2">
      <c r="A50" s="32">
        <v>25</v>
      </c>
      <c r="B50" s="32" t="s">
        <v>120</v>
      </c>
      <c r="D50" s="33">
        <v>4</v>
      </c>
      <c r="E50" s="34">
        <v>4</v>
      </c>
      <c r="F50" s="33" t="s">
        <v>91</v>
      </c>
      <c r="G50" s="33" t="s">
        <v>115</v>
      </c>
      <c r="H50" s="35">
        <v>42528</v>
      </c>
      <c r="I50" s="32">
        <v>30</v>
      </c>
      <c r="J50" s="32">
        <v>32</v>
      </c>
      <c r="K50" s="32">
        <v>22</v>
      </c>
      <c r="L50" s="32">
        <v>35</v>
      </c>
      <c r="M50" s="32">
        <v>29</v>
      </c>
      <c r="N50" s="32">
        <v>24</v>
      </c>
      <c r="O50" s="32">
        <v>23</v>
      </c>
      <c r="P50" s="32">
        <v>23</v>
      </c>
      <c r="Q50" s="32">
        <v>22</v>
      </c>
      <c r="R50" s="32">
        <v>28</v>
      </c>
      <c r="S50" s="33">
        <f t="shared" si="1"/>
        <v>3</v>
      </c>
      <c r="T50" s="39">
        <f t="shared" ref="T50:T55" si="2">(S44+S46+S48+S50)/4</f>
        <v>8.75</v>
      </c>
    </row>
    <row r="51" spans="1:20" s="32" customFormat="1" x14ac:dyDescent="0.2">
      <c r="A51" s="32">
        <v>25</v>
      </c>
      <c r="B51" s="32" t="s">
        <v>116</v>
      </c>
      <c r="D51" s="33">
        <v>4</v>
      </c>
      <c r="E51" s="34">
        <v>4</v>
      </c>
      <c r="F51" s="33" t="s">
        <v>100</v>
      </c>
      <c r="G51" s="33" t="s">
        <v>117</v>
      </c>
      <c r="H51" s="35">
        <v>42517</v>
      </c>
      <c r="I51" s="32">
        <v>54</v>
      </c>
      <c r="J51" s="32">
        <v>56</v>
      </c>
      <c r="K51" s="32">
        <v>64</v>
      </c>
      <c r="L51" s="32">
        <v>56</v>
      </c>
      <c r="M51" s="32">
        <v>59</v>
      </c>
      <c r="N51" s="32">
        <v>64</v>
      </c>
      <c r="O51" s="32">
        <v>63</v>
      </c>
      <c r="P51" s="32">
        <v>80</v>
      </c>
      <c r="Q51" s="32">
        <v>82</v>
      </c>
      <c r="R51" s="32">
        <v>60</v>
      </c>
      <c r="S51" s="33">
        <f t="shared" si="1"/>
        <v>35</v>
      </c>
      <c r="T51" s="39">
        <f t="shared" si="2"/>
        <v>10.25</v>
      </c>
    </row>
    <row r="52" spans="1:20" s="32" customFormat="1" x14ac:dyDescent="0.2">
      <c r="A52" s="32">
        <v>26</v>
      </c>
      <c r="B52" s="32" t="s">
        <v>121</v>
      </c>
      <c r="D52" s="33">
        <v>4</v>
      </c>
      <c r="E52" s="34">
        <v>5</v>
      </c>
      <c r="F52" s="33" t="s">
        <v>100</v>
      </c>
      <c r="G52" s="33" t="s">
        <v>117</v>
      </c>
      <c r="H52" s="35">
        <v>42516</v>
      </c>
      <c r="I52" s="32">
        <v>34</v>
      </c>
      <c r="J52" s="32">
        <v>35</v>
      </c>
      <c r="K52" s="32">
        <v>39</v>
      </c>
      <c r="L52" s="32">
        <v>59</v>
      </c>
      <c r="M52" s="32">
        <v>42</v>
      </c>
      <c r="N52" s="32">
        <v>34</v>
      </c>
      <c r="O52" s="32">
        <v>75</v>
      </c>
      <c r="P52" s="32">
        <v>75</v>
      </c>
      <c r="Q52" s="32">
        <v>79</v>
      </c>
      <c r="R52" s="32">
        <v>88</v>
      </c>
      <c r="S52" s="33">
        <f t="shared" si="1"/>
        <v>63</v>
      </c>
      <c r="T52" s="39">
        <f t="shared" si="2"/>
        <v>24.75</v>
      </c>
    </row>
    <row r="53" spans="1:20" s="32" customFormat="1" x14ac:dyDescent="0.2">
      <c r="A53" s="32">
        <v>26</v>
      </c>
      <c r="B53" s="32" t="s">
        <v>122</v>
      </c>
      <c r="D53" s="33">
        <v>4</v>
      </c>
      <c r="E53" s="34">
        <v>5</v>
      </c>
      <c r="F53" s="33" t="s">
        <v>100</v>
      </c>
      <c r="G53" s="33" t="s">
        <v>117</v>
      </c>
      <c r="H53" s="35">
        <v>42517</v>
      </c>
      <c r="I53" s="32">
        <v>27</v>
      </c>
      <c r="J53" s="32">
        <v>27</v>
      </c>
      <c r="K53" s="32">
        <v>25</v>
      </c>
      <c r="L53" s="32">
        <v>30</v>
      </c>
      <c r="M53" s="32">
        <v>36</v>
      </c>
      <c r="N53" s="32">
        <v>68</v>
      </c>
      <c r="O53" s="32">
        <v>35</v>
      </c>
      <c r="P53" s="32">
        <v>58</v>
      </c>
      <c r="Q53" s="32">
        <v>58</v>
      </c>
      <c r="R53" s="32">
        <v>53</v>
      </c>
      <c r="S53" s="33">
        <f t="shared" si="1"/>
        <v>28</v>
      </c>
      <c r="T53" s="39">
        <f t="shared" si="2"/>
        <v>16.5</v>
      </c>
    </row>
    <row r="54" spans="1:20" s="32" customFormat="1" x14ac:dyDescent="0.2">
      <c r="A54" s="32">
        <v>27</v>
      </c>
      <c r="B54" s="32" t="s">
        <v>123</v>
      </c>
      <c r="D54" s="33">
        <v>4</v>
      </c>
      <c r="E54" s="34">
        <v>6</v>
      </c>
      <c r="F54" s="33" t="s">
        <v>91</v>
      </c>
      <c r="G54" s="33" t="s">
        <v>115</v>
      </c>
      <c r="H54" s="35">
        <v>42517</v>
      </c>
      <c r="I54" s="32">
        <v>27</v>
      </c>
      <c r="J54" s="32">
        <v>28</v>
      </c>
      <c r="K54" s="32">
        <v>32</v>
      </c>
      <c r="L54" s="32">
        <v>59</v>
      </c>
      <c r="M54" s="32">
        <v>35</v>
      </c>
      <c r="N54" s="32">
        <v>31</v>
      </c>
      <c r="O54" s="32">
        <v>24</v>
      </c>
      <c r="P54" s="32">
        <v>30</v>
      </c>
      <c r="Q54" s="32">
        <v>25</v>
      </c>
      <c r="R54" s="32">
        <v>31</v>
      </c>
      <c r="S54" s="33">
        <f t="shared" si="1"/>
        <v>6</v>
      </c>
      <c r="T54" s="39">
        <f t="shared" si="2"/>
        <v>18.5</v>
      </c>
    </row>
    <row r="55" spans="1:20" s="32" customFormat="1" x14ac:dyDescent="0.2">
      <c r="A55" s="32">
        <v>27</v>
      </c>
      <c r="B55" s="32" t="s">
        <v>124</v>
      </c>
      <c r="D55" s="33">
        <v>4</v>
      </c>
      <c r="E55" s="34">
        <v>6</v>
      </c>
      <c r="F55" s="33" t="s">
        <v>91</v>
      </c>
      <c r="G55" s="33" t="s">
        <v>115</v>
      </c>
      <c r="H55" s="35">
        <v>42528</v>
      </c>
      <c r="I55" s="32">
        <v>19</v>
      </c>
      <c r="J55" s="32">
        <v>19</v>
      </c>
      <c r="K55" s="32">
        <v>30</v>
      </c>
      <c r="L55" s="32">
        <v>32</v>
      </c>
      <c r="M55" s="32">
        <v>22</v>
      </c>
      <c r="N55" s="32">
        <v>23</v>
      </c>
      <c r="O55" s="32">
        <v>30</v>
      </c>
      <c r="P55" s="32">
        <v>25</v>
      </c>
      <c r="Q55" s="32">
        <v>35</v>
      </c>
      <c r="R55" s="32">
        <v>30</v>
      </c>
      <c r="S55" s="33">
        <f t="shared" si="1"/>
        <v>5</v>
      </c>
      <c r="T55" s="39">
        <f t="shared" si="2"/>
        <v>18.25</v>
      </c>
    </row>
    <row r="56" spans="1:20" s="32" customFormat="1" ht="15" x14ac:dyDescent="0.25">
      <c r="A56" s="32">
        <v>28</v>
      </c>
      <c r="B56" s="32" t="s">
        <v>133</v>
      </c>
      <c r="D56" s="33">
        <v>4</v>
      </c>
      <c r="E56" s="34">
        <v>7</v>
      </c>
      <c r="F56" s="33" t="s">
        <v>91</v>
      </c>
      <c r="G56" s="33" t="s">
        <v>117</v>
      </c>
      <c r="H56" s="35">
        <v>42528</v>
      </c>
      <c r="S56" s="33"/>
    </row>
    <row r="57" spans="1:20" s="32" customFormat="1" ht="15" x14ac:dyDescent="0.25">
      <c r="A57" s="32">
        <v>28</v>
      </c>
      <c r="B57" s="32" t="s">
        <v>134</v>
      </c>
      <c r="D57" s="33">
        <v>4</v>
      </c>
      <c r="E57" s="34">
        <v>7</v>
      </c>
      <c r="F57" s="33" t="s">
        <v>91</v>
      </c>
      <c r="G57" s="33" t="s">
        <v>117</v>
      </c>
      <c r="H57" s="35">
        <v>42519</v>
      </c>
      <c r="S57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workbookViewId="0">
      <selection activeCell="F8" sqref="F8"/>
    </sheetView>
  </sheetViews>
  <sheetFormatPr defaultRowHeight="12.75" x14ac:dyDescent="0.2"/>
  <cols>
    <col min="5" max="5" width="9.140625" style="56"/>
    <col min="10" max="10" width="8.7109375" style="1"/>
    <col min="11" max="11" width="9.140625" style="1"/>
    <col min="15" max="15" width="9.140625" customWidth="1"/>
    <col min="16" max="17" width="11" customWidth="1"/>
  </cols>
  <sheetData>
    <row r="1" spans="1:21" x14ac:dyDescent="0.2">
      <c r="A1" t="s">
        <v>330</v>
      </c>
      <c r="G1" s="2" t="s">
        <v>1</v>
      </c>
      <c r="H1" s="2"/>
      <c r="I1" s="2"/>
    </row>
    <row r="2" spans="1:21" x14ac:dyDescent="0.2">
      <c r="A2" s="25"/>
      <c r="B2" s="25" t="s">
        <v>106</v>
      </c>
      <c r="C2" s="25"/>
      <c r="D2" s="26" t="s">
        <v>107</v>
      </c>
      <c r="E2" s="46" t="s">
        <v>108</v>
      </c>
      <c r="F2" s="26" t="s">
        <v>142</v>
      </c>
      <c r="G2" s="26" t="s">
        <v>109</v>
      </c>
      <c r="H2" s="26" t="s">
        <v>117</v>
      </c>
      <c r="I2" s="33" t="s">
        <v>143</v>
      </c>
      <c r="J2" s="3" t="s">
        <v>0</v>
      </c>
      <c r="K2" s="3"/>
      <c r="L2" t="s">
        <v>135</v>
      </c>
      <c r="M2" t="s">
        <v>136</v>
      </c>
      <c r="N2" t="s">
        <v>137</v>
      </c>
      <c r="O2" t="s">
        <v>140</v>
      </c>
      <c r="P2" t="s">
        <v>141</v>
      </c>
      <c r="R2" t="s">
        <v>145</v>
      </c>
      <c r="S2" t="s">
        <v>147</v>
      </c>
      <c r="T2" t="s">
        <v>149</v>
      </c>
    </row>
    <row r="3" spans="1:21" x14ac:dyDescent="0.2">
      <c r="A3" s="32">
        <v>1</v>
      </c>
      <c r="B3" s="32" t="s">
        <v>114</v>
      </c>
      <c r="C3" s="32"/>
      <c r="D3" s="34">
        <v>1</v>
      </c>
      <c r="E3" s="42">
        <v>1</v>
      </c>
      <c r="F3" s="34">
        <v>1</v>
      </c>
      <c r="G3" s="33" t="s">
        <v>91</v>
      </c>
      <c r="H3" s="33" t="s">
        <v>115</v>
      </c>
      <c r="I3" s="33">
        <v>1</v>
      </c>
      <c r="J3" s="67">
        <v>1.2629999999999999</v>
      </c>
      <c r="K3" s="67"/>
      <c r="L3" s="42">
        <v>0.39062500000000006</v>
      </c>
      <c r="M3" s="42">
        <v>0.23317018072289161</v>
      </c>
      <c r="N3" s="42">
        <v>1.2919176706827309</v>
      </c>
      <c r="O3" s="33">
        <v>30.2</v>
      </c>
      <c r="P3" s="33">
        <v>6.1999999999999993</v>
      </c>
      <c r="Q3" s="33"/>
      <c r="R3" s="42">
        <f t="shared" ref="R3:R34" si="0">$J3*L3*10</f>
        <v>4.93359375</v>
      </c>
      <c r="S3" s="42">
        <f t="shared" ref="S3:S34" si="1">$J3*M3*10</f>
        <v>2.9449393825301207</v>
      </c>
      <c r="T3" s="33">
        <v>1.2629999999999999</v>
      </c>
      <c r="U3" s="32"/>
    </row>
    <row r="4" spans="1:21" x14ac:dyDescent="0.2">
      <c r="A4" s="32">
        <v>1</v>
      </c>
      <c r="B4" s="32" t="s">
        <v>116</v>
      </c>
      <c r="C4" s="32"/>
      <c r="D4" s="34">
        <v>1</v>
      </c>
      <c r="E4" s="42">
        <v>1</v>
      </c>
      <c r="F4" s="34">
        <v>1</v>
      </c>
      <c r="G4" s="33" t="s">
        <v>100</v>
      </c>
      <c r="H4" s="33" t="s">
        <v>117</v>
      </c>
      <c r="I4" s="33">
        <v>5</v>
      </c>
      <c r="J4" s="1">
        <v>12.234</v>
      </c>
      <c r="K4" s="19"/>
      <c r="L4" s="9">
        <v>0.27958749999999999</v>
      </c>
      <c r="M4" s="9">
        <v>0.10432125</v>
      </c>
      <c r="N4" s="9">
        <v>0.23018749999999999</v>
      </c>
      <c r="O4" s="8">
        <v>53.4</v>
      </c>
      <c r="P4" s="8">
        <v>29.4</v>
      </c>
      <c r="Q4" s="8"/>
      <c r="R4" s="9">
        <f t="shared" si="0"/>
        <v>34.20473475</v>
      </c>
      <c r="S4" s="9">
        <f t="shared" si="1"/>
        <v>12.762661724999999</v>
      </c>
      <c r="T4" s="8">
        <v>5.7439999999999998</v>
      </c>
    </row>
    <row r="5" spans="1:21" ht="15" x14ac:dyDescent="0.25">
      <c r="A5" s="37">
        <v>8</v>
      </c>
      <c r="B5" s="32" t="s">
        <v>127</v>
      </c>
      <c r="C5" s="32"/>
      <c r="D5" s="34">
        <v>2</v>
      </c>
      <c r="E5" s="42">
        <v>1</v>
      </c>
      <c r="F5" s="34">
        <v>1</v>
      </c>
      <c r="G5" s="33" t="s">
        <v>91</v>
      </c>
      <c r="H5" s="33" t="s">
        <v>115</v>
      </c>
      <c r="I5" s="33">
        <v>2</v>
      </c>
      <c r="J5" s="67">
        <v>1.363999999999999</v>
      </c>
      <c r="K5" s="68"/>
      <c r="L5" s="42">
        <v>0.49341775325977932</v>
      </c>
      <c r="M5" s="42">
        <v>0.27666750250752259</v>
      </c>
      <c r="N5" s="42">
        <v>1.3160732196589771</v>
      </c>
      <c r="O5" s="33">
        <v>23</v>
      </c>
      <c r="P5" s="33">
        <v>-1</v>
      </c>
      <c r="Q5" s="33"/>
      <c r="R5" s="42">
        <f t="shared" si="0"/>
        <v>6.730218154463385</v>
      </c>
      <c r="S5" s="42">
        <f t="shared" si="1"/>
        <v>3.7737447342026051</v>
      </c>
      <c r="T5" s="33">
        <v>1.363999999999999</v>
      </c>
    </row>
    <row r="6" spans="1:21" ht="15" x14ac:dyDescent="0.25">
      <c r="A6" s="32">
        <v>8</v>
      </c>
      <c r="B6" s="32" t="s">
        <v>128</v>
      </c>
      <c r="C6" s="32"/>
      <c r="D6" s="34">
        <v>2</v>
      </c>
      <c r="E6" s="42">
        <v>1</v>
      </c>
      <c r="F6" s="34">
        <v>1</v>
      </c>
      <c r="G6" s="33" t="s">
        <v>100</v>
      </c>
      <c r="H6" s="33" t="s">
        <v>117</v>
      </c>
      <c r="I6" s="33">
        <v>6</v>
      </c>
      <c r="J6" s="67">
        <v>5.7439999999999998</v>
      </c>
      <c r="K6" s="68"/>
      <c r="L6" s="42">
        <v>0.36026852312282442</v>
      </c>
      <c r="M6" s="42">
        <v>0.15780706116360022</v>
      </c>
      <c r="N6" s="42">
        <v>0.30597961213326708</v>
      </c>
      <c r="O6" s="33">
        <v>60.4</v>
      </c>
      <c r="P6" s="33">
        <v>36.4</v>
      </c>
      <c r="Q6" s="33"/>
      <c r="R6" s="42">
        <f t="shared" si="0"/>
        <v>20.693823968175032</v>
      </c>
      <c r="S6" s="42">
        <f t="shared" si="1"/>
        <v>9.0644375932371961</v>
      </c>
      <c r="T6" s="33">
        <v>7.2170000000000005</v>
      </c>
    </row>
    <row r="7" spans="1:21" x14ac:dyDescent="0.2">
      <c r="A7" s="32">
        <v>15</v>
      </c>
      <c r="B7" s="32" t="s">
        <v>114</v>
      </c>
      <c r="C7" s="32"/>
      <c r="D7" s="34">
        <v>3</v>
      </c>
      <c r="E7" s="42">
        <v>1</v>
      </c>
      <c r="F7" s="34">
        <v>1</v>
      </c>
      <c r="G7" s="33" t="s">
        <v>91</v>
      </c>
      <c r="H7" s="33" t="s">
        <v>115</v>
      </c>
      <c r="I7" s="33">
        <v>3</v>
      </c>
      <c r="J7" s="1">
        <v>4.2009999999999987</v>
      </c>
      <c r="K7" s="19"/>
      <c r="L7" s="9">
        <v>0.48637048192771082</v>
      </c>
      <c r="M7" s="9">
        <v>0.25834588353413657</v>
      </c>
      <c r="N7" s="9">
        <v>1.3226656626506024</v>
      </c>
      <c r="O7" s="8">
        <v>54.6</v>
      </c>
      <c r="P7" s="8">
        <v>30.6</v>
      </c>
      <c r="Q7" s="8"/>
      <c r="R7" s="9">
        <f t="shared" si="0"/>
        <v>20.432423945783125</v>
      </c>
      <c r="S7" s="9">
        <f t="shared" si="1"/>
        <v>10.853110567269074</v>
      </c>
      <c r="T7" s="8">
        <v>2.7639999999999993</v>
      </c>
    </row>
    <row r="8" spans="1:21" x14ac:dyDescent="0.2">
      <c r="A8" s="32">
        <v>15</v>
      </c>
      <c r="B8" s="32" t="s">
        <v>116</v>
      </c>
      <c r="C8" s="32"/>
      <c r="D8" s="34">
        <v>3</v>
      </c>
      <c r="E8" s="42">
        <v>1</v>
      </c>
      <c r="F8" s="34">
        <v>1</v>
      </c>
      <c r="G8" s="33" t="s">
        <v>100</v>
      </c>
      <c r="H8" s="33" t="s">
        <v>117</v>
      </c>
      <c r="I8" s="33">
        <v>7</v>
      </c>
      <c r="J8" s="1">
        <v>8.1979999999999986</v>
      </c>
      <c r="K8" s="19"/>
      <c r="L8" s="9">
        <v>0.31917293233082705</v>
      </c>
      <c r="M8" s="9">
        <v>0.1212531328320802</v>
      </c>
      <c r="N8" s="9">
        <v>0.24126566416040099</v>
      </c>
      <c r="O8" s="8">
        <v>44.6</v>
      </c>
      <c r="P8" s="8">
        <v>20.6</v>
      </c>
      <c r="Q8" s="8"/>
      <c r="R8" s="9">
        <f t="shared" si="0"/>
        <v>26.165796992481198</v>
      </c>
      <c r="S8" s="9">
        <f t="shared" si="1"/>
        <v>9.9403318295739336</v>
      </c>
      <c r="T8" s="8">
        <v>8.1979999999999986</v>
      </c>
    </row>
    <row r="9" spans="1:21" x14ac:dyDescent="0.2">
      <c r="A9" s="32">
        <v>22</v>
      </c>
      <c r="B9" s="32" t="s">
        <v>114</v>
      </c>
      <c r="C9" s="32"/>
      <c r="D9" s="34">
        <v>4</v>
      </c>
      <c r="E9" s="42">
        <v>1</v>
      </c>
      <c r="F9" s="34">
        <v>1</v>
      </c>
      <c r="G9" s="33" t="s">
        <v>91</v>
      </c>
      <c r="H9" s="33" t="s">
        <v>115</v>
      </c>
      <c r="I9" s="33">
        <v>4</v>
      </c>
      <c r="J9" s="1">
        <v>2.7639999999999993</v>
      </c>
      <c r="K9" s="19">
        <f>AVERAGE(J6:J9)</f>
        <v>5.2267499999999991</v>
      </c>
      <c r="L9" s="9">
        <v>0.48023080782739591</v>
      </c>
      <c r="M9" s="9">
        <v>0.24553437029603614</v>
      </c>
      <c r="N9" s="9">
        <v>1.2518314099347718</v>
      </c>
      <c r="O9" s="8">
        <v>21.2</v>
      </c>
      <c r="P9" s="8">
        <v>-2.8000000000000007</v>
      </c>
      <c r="Q9" s="19">
        <f>AVERAGE(P6:P9)</f>
        <v>21.2</v>
      </c>
      <c r="R9" s="9">
        <f t="shared" si="0"/>
        <v>13.27357952834922</v>
      </c>
      <c r="S9" s="9">
        <f t="shared" si="1"/>
        <v>6.7865699949824378</v>
      </c>
      <c r="T9" s="8">
        <v>4.2009999999999987</v>
      </c>
    </row>
    <row r="10" spans="1:21" s="25" customFormat="1" x14ac:dyDescent="0.2">
      <c r="A10" s="25">
        <v>22</v>
      </c>
      <c r="B10" s="25" t="s">
        <v>116</v>
      </c>
      <c r="D10" s="43">
        <v>4</v>
      </c>
      <c r="E10" s="46">
        <v>1</v>
      </c>
      <c r="F10" s="43">
        <v>1</v>
      </c>
      <c r="G10" s="26" t="s">
        <v>100</v>
      </c>
      <c r="H10" s="26" t="s">
        <v>117</v>
      </c>
      <c r="I10" s="26">
        <v>8</v>
      </c>
      <c r="J10" s="44">
        <v>7.2170000000000005</v>
      </c>
      <c r="K10" s="45">
        <f>AVERAGE(J7:J10)</f>
        <v>5.5949999999999989</v>
      </c>
      <c r="L10" s="46">
        <v>0.39442499999999997</v>
      </c>
      <c r="M10" s="46">
        <v>0.18035000000000001</v>
      </c>
      <c r="N10" s="46">
        <v>0.28005000000000002</v>
      </c>
      <c r="O10" s="26">
        <v>27.8</v>
      </c>
      <c r="P10" s="26">
        <v>3.8000000000000007</v>
      </c>
      <c r="Q10" s="45">
        <f>AVERAGE(P7:P10)</f>
        <v>13.05</v>
      </c>
      <c r="R10" s="46">
        <f t="shared" si="0"/>
        <v>28.465652249999998</v>
      </c>
      <c r="S10" s="46">
        <f t="shared" si="1"/>
        <v>13.015859500000001</v>
      </c>
      <c r="T10" s="26">
        <v>12.234</v>
      </c>
    </row>
    <row r="11" spans="1:21" x14ac:dyDescent="0.2">
      <c r="A11" s="32">
        <v>2</v>
      </c>
      <c r="B11" s="32" t="s">
        <v>118</v>
      </c>
      <c r="C11" s="32"/>
      <c r="D11" s="34">
        <v>1</v>
      </c>
      <c r="E11" s="42">
        <v>2</v>
      </c>
      <c r="F11" s="34">
        <v>2</v>
      </c>
      <c r="G11" s="33" t="s">
        <v>91</v>
      </c>
      <c r="H11" s="33" t="s">
        <v>117</v>
      </c>
      <c r="I11" s="33">
        <v>9</v>
      </c>
      <c r="J11" s="1">
        <v>7.770999999999999</v>
      </c>
      <c r="K11" s="19"/>
      <c r="L11" s="9">
        <v>0.46881533101045297</v>
      </c>
      <c r="M11" s="9">
        <v>0.25345943255350922</v>
      </c>
      <c r="N11" s="9">
        <v>1.3053758088601295</v>
      </c>
      <c r="O11" s="8">
        <v>48.2</v>
      </c>
      <c r="P11" s="8">
        <v>24.200000000000003</v>
      </c>
      <c r="Q11" s="8"/>
      <c r="R11" s="9">
        <f t="shared" si="0"/>
        <v>36.431639372822296</v>
      </c>
      <c r="S11" s="9">
        <f t="shared" si="1"/>
        <v>19.696332503733199</v>
      </c>
      <c r="T11" s="8">
        <v>2.0839999999999996</v>
      </c>
    </row>
    <row r="12" spans="1:21" x14ac:dyDescent="0.2">
      <c r="A12" s="32">
        <v>2</v>
      </c>
      <c r="B12" s="32" t="s">
        <v>116</v>
      </c>
      <c r="C12" s="32"/>
      <c r="D12" s="34">
        <v>1</v>
      </c>
      <c r="E12" s="42">
        <v>2</v>
      </c>
      <c r="F12" s="34">
        <v>2</v>
      </c>
      <c r="G12" s="33" t="s">
        <v>100</v>
      </c>
      <c r="H12" s="33" t="s">
        <v>117</v>
      </c>
      <c r="I12" s="33">
        <v>13</v>
      </c>
      <c r="J12" s="1">
        <v>13.484999999999998</v>
      </c>
      <c r="K12" s="19"/>
      <c r="L12" s="9">
        <v>0.31157292185166752</v>
      </c>
      <c r="M12" s="9">
        <v>0.10388750622200101</v>
      </c>
      <c r="N12" s="9">
        <v>0.17081881533101045</v>
      </c>
      <c r="O12" s="8">
        <v>61</v>
      </c>
      <c r="P12" s="8">
        <v>37</v>
      </c>
      <c r="Q12" s="8"/>
      <c r="R12" s="9">
        <f t="shared" si="0"/>
        <v>42.015608511697351</v>
      </c>
      <c r="S12" s="9">
        <f t="shared" si="1"/>
        <v>14.009230214036833</v>
      </c>
      <c r="T12" s="8">
        <v>4.0879999999999992</v>
      </c>
    </row>
    <row r="13" spans="1:21" ht="15" x14ac:dyDescent="0.25">
      <c r="A13" s="32">
        <v>9</v>
      </c>
      <c r="B13" s="32" t="s">
        <v>129</v>
      </c>
      <c r="C13" s="32"/>
      <c r="D13" s="34">
        <v>2</v>
      </c>
      <c r="E13" s="42">
        <v>2</v>
      </c>
      <c r="F13" s="34">
        <v>2</v>
      </c>
      <c r="G13" s="33" t="s">
        <v>91</v>
      </c>
      <c r="H13" s="33" t="s">
        <v>117</v>
      </c>
      <c r="I13" s="33">
        <v>10</v>
      </c>
      <c r="J13" s="1">
        <v>2.0839999999999996</v>
      </c>
      <c r="K13" s="19"/>
      <c r="L13" s="9">
        <v>0.57483676544450024</v>
      </c>
      <c r="M13" s="9">
        <v>0.24708689100954298</v>
      </c>
      <c r="N13" s="9">
        <v>1.4374686087393269</v>
      </c>
      <c r="O13" s="8">
        <v>25</v>
      </c>
      <c r="P13" s="8">
        <v>1</v>
      </c>
      <c r="Q13" s="8"/>
      <c r="R13" s="9">
        <f t="shared" si="0"/>
        <v>11.979598191863383</v>
      </c>
      <c r="S13" s="9">
        <f t="shared" si="1"/>
        <v>5.1492908086388747</v>
      </c>
      <c r="T13" s="8">
        <v>6.8079999999999998</v>
      </c>
    </row>
    <row r="14" spans="1:21" ht="15" x14ac:dyDescent="0.25">
      <c r="A14" s="32">
        <v>9</v>
      </c>
      <c r="B14" s="32" t="s">
        <v>130</v>
      </c>
      <c r="C14" s="32"/>
      <c r="D14" s="34">
        <v>2</v>
      </c>
      <c r="E14" s="42">
        <v>2</v>
      </c>
      <c r="F14" s="34">
        <v>2</v>
      </c>
      <c r="G14" s="33" t="s">
        <v>100</v>
      </c>
      <c r="H14" s="33" t="s">
        <v>117</v>
      </c>
      <c r="I14" s="33">
        <v>14</v>
      </c>
      <c r="J14" s="1">
        <v>9.83</v>
      </c>
      <c r="K14" s="19"/>
      <c r="L14" s="9">
        <v>0.4441720860430215</v>
      </c>
      <c r="M14" s="9">
        <v>0.21284392196098048</v>
      </c>
      <c r="N14" s="9">
        <v>0.29882441220610301</v>
      </c>
      <c r="O14" s="8">
        <v>119.6</v>
      </c>
      <c r="P14" s="8">
        <v>95.6</v>
      </c>
      <c r="Q14" s="8"/>
      <c r="R14" s="9">
        <f t="shared" si="0"/>
        <v>43.662116058029014</v>
      </c>
      <c r="S14" s="9">
        <f t="shared" si="1"/>
        <v>20.922557528764383</v>
      </c>
      <c r="T14" s="8">
        <v>9.5009999999999994</v>
      </c>
    </row>
    <row r="15" spans="1:21" x14ac:dyDescent="0.2">
      <c r="A15" s="32">
        <v>16</v>
      </c>
      <c r="B15" s="32" t="s">
        <v>118</v>
      </c>
      <c r="C15" s="32"/>
      <c r="D15" s="34">
        <v>3</v>
      </c>
      <c r="E15" s="42">
        <v>2</v>
      </c>
      <c r="F15" s="34">
        <v>2</v>
      </c>
      <c r="G15" s="33" t="s">
        <v>91</v>
      </c>
      <c r="H15" s="33" t="s">
        <v>117</v>
      </c>
      <c r="I15" s="33">
        <v>11</v>
      </c>
      <c r="J15" s="1">
        <v>6.8079999999999998</v>
      </c>
      <c r="K15" s="19"/>
      <c r="L15" s="9">
        <v>0.45317817817817824</v>
      </c>
      <c r="M15" s="9">
        <v>0.21692942942942942</v>
      </c>
      <c r="N15" s="9">
        <v>1.2655155155155156</v>
      </c>
      <c r="O15" s="8">
        <v>25.4</v>
      </c>
      <c r="P15" s="8">
        <v>1.3999999999999986</v>
      </c>
      <c r="Q15" s="8"/>
      <c r="R15" s="9">
        <f t="shared" si="0"/>
        <v>30.852370370370373</v>
      </c>
      <c r="S15" s="9">
        <f t="shared" si="1"/>
        <v>14.768555555555555</v>
      </c>
      <c r="T15" s="8">
        <v>7.770999999999999</v>
      </c>
    </row>
    <row r="16" spans="1:21" x14ac:dyDescent="0.2">
      <c r="A16" s="32">
        <v>16</v>
      </c>
      <c r="B16" s="32" t="s">
        <v>116</v>
      </c>
      <c r="C16" s="32"/>
      <c r="D16" s="34">
        <v>3</v>
      </c>
      <c r="E16" s="42">
        <v>2</v>
      </c>
      <c r="F16" s="34">
        <v>2</v>
      </c>
      <c r="G16" s="33" t="s">
        <v>100</v>
      </c>
      <c r="H16" s="33" t="s">
        <v>117</v>
      </c>
      <c r="I16" s="33">
        <v>15</v>
      </c>
      <c r="J16" s="67">
        <v>9.5009999999999994</v>
      </c>
      <c r="K16" s="68"/>
      <c r="L16" s="42">
        <v>0.29137931034482756</v>
      </c>
      <c r="M16" s="42">
        <v>0.14602698650674664</v>
      </c>
      <c r="N16" s="42">
        <v>0.26108195902048975</v>
      </c>
      <c r="O16" s="33">
        <v>44.6</v>
      </c>
      <c r="P16" s="33">
        <v>20.6</v>
      </c>
      <c r="Q16" s="33"/>
      <c r="R16" s="42">
        <f t="shared" si="0"/>
        <v>27.683948275862065</v>
      </c>
      <c r="S16" s="42">
        <f t="shared" si="1"/>
        <v>13.874023988005996</v>
      </c>
      <c r="T16" s="33">
        <v>9.83</v>
      </c>
    </row>
    <row r="17" spans="1:21" x14ac:dyDescent="0.2">
      <c r="A17" s="32">
        <v>23</v>
      </c>
      <c r="B17" s="32" t="s">
        <v>118</v>
      </c>
      <c r="C17" s="32"/>
      <c r="D17" s="34">
        <v>4</v>
      </c>
      <c r="E17" s="42">
        <v>2</v>
      </c>
      <c r="F17" s="34">
        <v>2</v>
      </c>
      <c r="G17" s="33" t="s">
        <v>91</v>
      </c>
      <c r="H17" s="33" t="s">
        <v>117</v>
      </c>
      <c r="I17" s="33">
        <v>12</v>
      </c>
      <c r="J17" s="1">
        <v>11.891999999999998</v>
      </c>
      <c r="K17" s="19">
        <f>AVERAGE(J14:J17)</f>
        <v>9.5077499999999979</v>
      </c>
      <c r="L17" s="9">
        <v>0.4932890115403914</v>
      </c>
      <c r="M17" s="9">
        <v>0.21865278474661318</v>
      </c>
      <c r="N17" s="9">
        <v>1.4883341695935774</v>
      </c>
      <c r="O17" s="8">
        <v>56.4</v>
      </c>
      <c r="P17" s="8">
        <v>32.4</v>
      </c>
      <c r="Q17" s="19">
        <f>AVERAGE(P14:P17)</f>
        <v>37.5</v>
      </c>
      <c r="R17" s="9">
        <f t="shared" si="0"/>
        <v>58.661929252383338</v>
      </c>
      <c r="S17" s="9">
        <f t="shared" si="1"/>
        <v>26.002189162067232</v>
      </c>
      <c r="T17" s="8">
        <v>11.891999999999998</v>
      </c>
    </row>
    <row r="18" spans="1:21" s="25" customFormat="1" x14ac:dyDescent="0.2">
      <c r="A18" s="25">
        <v>23</v>
      </c>
      <c r="B18" s="25" t="s">
        <v>116</v>
      </c>
      <c r="D18" s="43">
        <v>4</v>
      </c>
      <c r="E18" s="46">
        <v>2</v>
      </c>
      <c r="F18" s="43">
        <v>2</v>
      </c>
      <c r="G18" s="26" t="s">
        <v>100</v>
      </c>
      <c r="H18" s="26" t="s">
        <v>117</v>
      </c>
      <c r="I18" s="26">
        <v>16</v>
      </c>
      <c r="J18" s="44">
        <v>4.0879999999999992</v>
      </c>
      <c r="K18" s="45">
        <f>AVERAGE(J15:J18)</f>
        <v>8.0722499999999986</v>
      </c>
      <c r="L18" s="46">
        <v>0.36370407149950346</v>
      </c>
      <c r="M18" s="46">
        <v>0.16611221449851044</v>
      </c>
      <c r="N18" s="46">
        <v>0.30182472691161866</v>
      </c>
      <c r="O18" s="26">
        <v>20.6</v>
      </c>
      <c r="P18" s="26">
        <v>-3.3999999999999986</v>
      </c>
      <c r="Q18" s="45">
        <f>AVERAGE(P15:P18)</f>
        <v>12.75</v>
      </c>
      <c r="R18" s="46">
        <f t="shared" si="0"/>
        <v>14.868222442899699</v>
      </c>
      <c r="S18" s="46">
        <f t="shared" si="1"/>
        <v>6.7906673286991044</v>
      </c>
      <c r="T18" s="26">
        <v>13.484999999999998</v>
      </c>
    </row>
    <row r="19" spans="1:21" x14ac:dyDescent="0.2">
      <c r="A19" s="32">
        <v>3</v>
      </c>
      <c r="B19" s="32" t="s">
        <v>139</v>
      </c>
      <c r="C19" s="32"/>
      <c r="D19" s="34">
        <v>1</v>
      </c>
      <c r="E19" s="42">
        <v>3</v>
      </c>
      <c r="F19" s="34">
        <v>3</v>
      </c>
      <c r="G19" s="33" t="s">
        <v>100</v>
      </c>
      <c r="H19" s="33" t="s">
        <v>117</v>
      </c>
      <c r="I19" s="33">
        <v>17</v>
      </c>
      <c r="J19" s="1">
        <v>4.5069999999999997</v>
      </c>
      <c r="K19" s="19"/>
      <c r="L19" s="9">
        <v>0.44863134103465602</v>
      </c>
      <c r="M19" s="9">
        <v>0.25577599196383727</v>
      </c>
      <c r="N19" s="9">
        <v>1.3150426921145153</v>
      </c>
      <c r="O19" s="8">
        <v>130.4</v>
      </c>
      <c r="P19" s="41">
        <v>1.6</v>
      </c>
      <c r="Q19" s="41"/>
      <c r="R19" s="9">
        <f t="shared" si="0"/>
        <v>20.219814540431944</v>
      </c>
      <c r="S19" s="9">
        <f t="shared" si="1"/>
        <v>11.527823957810144</v>
      </c>
      <c r="T19" s="8">
        <v>4.0649999999999995</v>
      </c>
    </row>
    <row r="20" spans="1:21" x14ac:dyDescent="0.2">
      <c r="A20" s="32">
        <v>3</v>
      </c>
      <c r="B20" s="32" t="s">
        <v>138</v>
      </c>
      <c r="C20" s="32"/>
      <c r="D20" s="34">
        <v>1</v>
      </c>
      <c r="E20" s="42">
        <v>3</v>
      </c>
      <c r="F20" s="34">
        <v>3</v>
      </c>
      <c r="G20" s="33" t="s">
        <v>91</v>
      </c>
      <c r="H20" s="33" t="s">
        <v>117</v>
      </c>
      <c r="I20" s="33">
        <v>21</v>
      </c>
      <c r="J20" s="1">
        <v>12.668000000000001</v>
      </c>
      <c r="K20" s="19"/>
      <c r="L20" s="9">
        <v>0.25944832750873686</v>
      </c>
      <c r="M20" s="9">
        <v>0.12058786819770344</v>
      </c>
      <c r="N20" s="9">
        <v>0.24011482775836243</v>
      </c>
      <c r="O20" s="8">
        <v>25.6</v>
      </c>
      <c r="P20" s="41">
        <v>106.4</v>
      </c>
      <c r="Q20" s="41"/>
      <c r="R20" s="9">
        <f t="shared" si="0"/>
        <v>32.866914128806791</v>
      </c>
      <c r="S20" s="9">
        <f t="shared" si="1"/>
        <v>15.276071143285073</v>
      </c>
      <c r="T20" s="8">
        <v>4.9269999999999996</v>
      </c>
    </row>
    <row r="21" spans="1:21" ht="15" x14ac:dyDescent="0.25">
      <c r="A21" s="32">
        <v>10</v>
      </c>
      <c r="B21" s="32" t="s">
        <v>131</v>
      </c>
      <c r="C21" s="32"/>
      <c r="D21" s="34">
        <v>2</v>
      </c>
      <c r="E21" s="42">
        <v>3</v>
      </c>
      <c r="F21" s="34">
        <v>3</v>
      </c>
      <c r="G21" s="33" t="s">
        <v>91</v>
      </c>
      <c r="H21" s="33" t="s">
        <v>117</v>
      </c>
      <c r="I21" s="33">
        <v>18</v>
      </c>
      <c r="J21" s="1">
        <v>7.9429999999999996</v>
      </c>
      <c r="K21" s="19"/>
      <c r="L21" s="9">
        <v>0.42966399197592781</v>
      </c>
      <c r="M21" s="9">
        <v>0.24129889669007021</v>
      </c>
      <c r="N21" s="9">
        <v>1.2708124373119358</v>
      </c>
      <c r="O21" s="8">
        <v>24.6</v>
      </c>
      <c r="P21" s="8">
        <v>0.60000000000000142</v>
      </c>
      <c r="Q21" s="8"/>
      <c r="R21" s="9">
        <f t="shared" si="0"/>
        <v>34.128210882647942</v>
      </c>
      <c r="S21" s="9">
        <f t="shared" si="1"/>
        <v>19.166371364092278</v>
      </c>
      <c r="T21" s="8">
        <v>4.5069999999999997</v>
      </c>
    </row>
    <row r="22" spans="1:21" ht="15" x14ac:dyDescent="0.25">
      <c r="A22" s="32">
        <v>10</v>
      </c>
      <c r="B22" s="32" t="s">
        <v>132</v>
      </c>
      <c r="C22" s="32"/>
      <c r="D22" s="34">
        <v>2</v>
      </c>
      <c r="E22" s="42">
        <v>3</v>
      </c>
      <c r="F22" s="34">
        <v>3</v>
      </c>
      <c r="G22" s="33" t="s">
        <v>100</v>
      </c>
      <c r="H22" s="33" t="s">
        <v>117</v>
      </c>
      <c r="I22" s="33">
        <v>22</v>
      </c>
      <c r="J22" s="1">
        <v>4.9269999999999996</v>
      </c>
      <c r="K22" s="19"/>
      <c r="L22" s="9">
        <v>0.37441542288557217</v>
      </c>
      <c r="M22" s="9">
        <v>0.20016169154228852</v>
      </c>
      <c r="N22" s="9">
        <v>0.25768656716417915</v>
      </c>
      <c r="O22" s="8">
        <v>25</v>
      </c>
      <c r="P22" s="8">
        <v>1</v>
      </c>
      <c r="Q22" s="8"/>
      <c r="R22" s="9">
        <f t="shared" si="0"/>
        <v>18.447447885572139</v>
      </c>
      <c r="S22" s="9">
        <f t="shared" si="1"/>
        <v>9.8619665422885543</v>
      </c>
      <c r="T22" s="8">
        <v>5.3189999999999991</v>
      </c>
    </row>
    <row r="23" spans="1:21" x14ac:dyDescent="0.2">
      <c r="A23" s="32">
        <v>17</v>
      </c>
      <c r="B23" s="32" t="s">
        <v>119</v>
      </c>
      <c r="C23" s="32"/>
      <c r="D23" s="34">
        <v>3</v>
      </c>
      <c r="E23" s="42">
        <v>3</v>
      </c>
      <c r="F23" s="34">
        <v>3</v>
      </c>
      <c r="G23" s="33" t="s">
        <v>91</v>
      </c>
      <c r="H23" s="33" t="s">
        <v>117</v>
      </c>
      <c r="I23" s="33">
        <v>19</v>
      </c>
      <c r="J23" s="1">
        <v>4.0649999999999995</v>
      </c>
      <c r="K23" s="19"/>
      <c r="L23" s="9">
        <v>0.3940084703537618</v>
      </c>
      <c r="M23" s="9">
        <v>0.22653213751868462</v>
      </c>
      <c r="N23" s="9">
        <v>1.2416915794718486</v>
      </c>
      <c r="O23" s="8">
        <v>27.8</v>
      </c>
      <c r="P23" s="8">
        <v>3.8000000000000007</v>
      </c>
      <c r="Q23" s="8"/>
      <c r="R23" s="9">
        <f t="shared" si="0"/>
        <v>16.016444319880414</v>
      </c>
      <c r="S23" s="9">
        <f t="shared" si="1"/>
        <v>9.208531390134528</v>
      </c>
      <c r="T23" s="8">
        <v>7.9429999999999996</v>
      </c>
    </row>
    <row r="24" spans="1:21" x14ac:dyDescent="0.2">
      <c r="A24" s="32">
        <v>17</v>
      </c>
      <c r="B24" s="32" t="s">
        <v>116</v>
      </c>
      <c r="C24" s="32"/>
      <c r="D24" s="34">
        <v>3</v>
      </c>
      <c r="E24" s="42">
        <v>3</v>
      </c>
      <c r="F24" s="34">
        <v>3</v>
      </c>
      <c r="G24" s="33" t="s">
        <v>100</v>
      </c>
      <c r="H24" s="33" t="s">
        <v>117</v>
      </c>
      <c r="I24" s="33">
        <v>23</v>
      </c>
      <c r="J24" s="1">
        <v>5.3650000000000002</v>
      </c>
      <c r="K24" s="19"/>
      <c r="L24" s="9">
        <v>0.29397710303633651</v>
      </c>
      <c r="M24" s="9">
        <v>0.16061473369835738</v>
      </c>
      <c r="N24" s="9">
        <v>0.23006470881035343</v>
      </c>
      <c r="O24" s="8">
        <v>20</v>
      </c>
      <c r="P24" s="8">
        <v>-4</v>
      </c>
      <c r="Q24" s="8"/>
      <c r="R24" s="9">
        <f t="shared" si="0"/>
        <v>15.771871577899454</v>
      </c>
      <c r="S24" s="9">
        <f t="shared" si="1"/>
        <v>8.6169804629168727</v>
      </c>
      <c r="T24" s="8">
        <v>5.3650000000000002</v>
      </c>
    </row>
    <row r="25" spans="1:21" x14ac:dyDescent="0.2">
      <c r="A25" s="32">
        <v>24</v>
      </c>
      <c r="B25" s="32" t="s">
        <v>119</v>
      </c>
      <c r="C25" s="32"/>
      <c r="D25" s="34">
        <v>4</v>
      </c>
      <c r="E25" s="42">
        <v>3</v>
      </c>
      <c r="F25" s="34">
        <v>3</v>
      </c>
      <c r="G25" s="33" t="s">
        <v>91</v>
      </c>
      <c r="H25" s="33" t="s">
        <v>117</v>
      </c>
      <c r="I25" s="33">
        <v>20</v>
      </c>
      <c r="J25" s="1">
        <v>8.4730000000000008</v>
      </c>
      <c r="K25" s="19">
        <f>AVERAGE(J22:J25)</f>
        <v>5.7074999999999996</v>
      </c>
      <c r="L25" s="9">
        <v>0.50725968797181686</v>
      </c>
      <c r="M25" s="9">
        <v>0.24723200805234019</v>
      </c>
      <c r="N25" s="9">
        <v>1.428787116255662</v>
      </c>
      <c r="O25" s="8">
        <v>29.8</v>
      </c>
      <c r="P25" s="8">
        <v>5.8000000000000007</v>
      </c>
      <c r="Q25" s="19">
        <f>AVERAGE(P22:P25)</f>
        <v>1.6500000000000004</v>
      </c>
      <c r="R25" s="9">
        <f t="shared" si="0"/>
        <v>42.980113361852048</v>
      </c>
      <c r="S25" s="9">
        <f t="shared" si="1"/>
        <v>20.947968042274784</v>
      </c>
      <c r="T25" s="8">
        <v>8.4730000000000008</v>
      </c>
    </row>
    <row r="26" spans="1:21" s="25" customFormat="1" x14ac:dyDescent="0.2">
      <c r="A26" s="25">
        <v>24</v>
      </c>
      <c r="B26" s="25" t="s">
        <v>116</v>
      </c>
      <c r="D26" s="43">
        <v>4</v>
      </c>
      <c r="E26" s="46">
        <v>3</v>
      </c>
      <c r="F26" s="43">
        <v>3</v>
      </c>
      <c r="G26" s="26" t="s">
        <v>100</v>
      </c>
      <c r="H26" s="26" t="s">
        <v>117</v>
      </c>
      <c r="I26" s="26">
        <v>24</v>
      </c>
      <c r="J26" s="44">
        <v>5.3189999999999991</v>
      </c>
      <c r="K26" s="45">
        <f>AVERAGE(J23:J26)</f>
        <v>5.8054999999999994</v>
      </c>
      <c r="L26" s="46">
        <v>0.36723618090452254</v>
      </c>
      <c r="M26" s="46">
        <v>0.18948492462311556</v>
      </c>
      <c r="N26" s="46">
        <v>0.25679648241206027</v>
      </c>
      <c r="O26" s="26">
        <v>27.2</v>
      </c>
      <c r="P26" s="26">
        <v>3.1999999999999993</v>
      </c>
      <c r="Q26" s="45">
        <f>AVERAGE(P23:P26)</f>
        <v>2.2000000000000002</v>
      </c>
      <c r="R26" s="46">
        <f t="shared" si="0"/>
        <v>19.53329246231155</v>
      </c>
      <c r="S26" s="46">
        <f t="shared" si="1"/>
        <v>10.078703140703515</v>
      </c>
      <c r="T26" s="26">
        <v>12.668000000000001</v>
      </c>
    </row>
    <row r="27" spans="1:21" x14ac:dyDescent="0.2">
      <c r="A27" s="32">
        <v>4</v>
      </c>
      <c r="B27" s="32" t="s">
        <v>120</v>
      </c>
      <c r="C27" s="32"/>
      <c r="D27" s="34">
        <v>1</v>
      </c>
      <c r="E27" s="42">
        <v>4</v>
      </c>
      <c r="F27" s="34">
        <v>4</v>
      </c>
      <c r="G27" s="33" t="s">
        <v>91</v>
      </c>
      <c r="H27" s="33" t="s">
        <v>115</v>
      </c>
      <c r="I27" s="33">
        <v>25</v>
      </c>
      <c r="J27" s="1">
        <v>1.3989999999999991</v>
      </c>
      <c r="K27" s="19"/>
      <c r="L27" s="9">
        <v>0.34722640562249002</v>
      </c>
      <c r="M27" s="9">
        <v>0.20453062248995987</v>
      </c>
      <c r="N27" s="9">
        <v>1.0553589357429718</v>
      </c>
      <c r="O27" s="8">
        <v>31.6</v>
      </c>
      <c r="P27" s="8">
        <v>7.6000000000000014</v>
      </c>
      <c r="Q27" s="8"/>
      <c r="R27" s="9">
        <f t="shared" si="0"/>
        <v>4.8576974146586318</v>
      </c>
      <c r="S27" s="9">
        <f t="shared" si="1"/>
        <v>2.8613834086345369</v>
      </c>
      <c r="T27" s="8">
        <v>1.3989999999999991</v>
      </c>
    </row>
    <row r="28" spans="1:21" x14ac:dyDescent="0.2">
      <c r="A28" s="32">
        <v>4</v>
      </c>
      <c r="B28" s="32" t="s">
        <v>116</v>
      </c>
      <c r="C28" s="32"/>
      <c r="D28" s="34">
        <v>1</v>
      </c>
      <c r="E28" s="42">
        <v>4</v>
      </c>
      <c r="F28" s="34">
        <v>4</v>
      </c>
      <c r="G28" s="33" t="s">
        <v>100</v>
      </c>
      <c r="H28" s="33" t="s">
        <v>117</v>
      </c>
      <c r="I28" s="33">
        <v>29</v>
      </c>
      <c r="J28" s="67">
        <v>6.5249999999999986</v>
      </c>
      <c r="K28" s="68"/>
      <c r="L28" s="42">
        <v>0.27379578524836934</v>
      </c>
      <c r="M28" s="42">
        <v>0.11424485699949824</v>
      </c>
      <c r="N28" s="42">
        <v>0.22439789262418464</v>
      </c>
      <c r="O28" s="33">
        <v>58.6</v>
      </c>
      <c r="P28" s="33">
        <v>34.6</v>
      </c>
      <c r="Q28" s="33"/>
      <c r="R28" s="42">
        <f t="shared" si="0"/>
        <v>17.865174987456097</v>
      </c>
      <c r="S28" s="42">
        <f t="shared" si="1"/>
        <v>7.4544769192172584</v>
      </c>
      <c r="T28" s="33">
        <v>5.1499999999999986</v>
      </c>
    </row>
    <row r="29" spans="1:21" x14ac:dyDescent="0.2">
      <c r="A29" s="32">
        <v>11</v>
      </c>
      <c r="B29" s="32" t="s">
        <v>120</v>
      </c>
      <c r="C29" s="32"/>
      <c r="D29" s="34">
        <v>2</v>
      </c>
      <c r="E29" s="42">
        <v>4</v>
      </c>
      <c r="F29" s="34">
        <v>4</v>
      </c>
      <c r="G29" s="33" t="s">
        <v>91</v>
      </c>
      <c r="H29" s="33" t="s">
        <v>115</v>
      </c>
      <c r="I29" s="33">
        <v>26</v>
      </c>
      <c r="J29" s="1">
        <v>2.6719999999999988</v>
      </c>
      <c r="K29" s="19"/>
      <c r="L29" s="9">
        <v>0.52421013039117359</v>
      </c>
      <c r="M29" s="9">
        <v>0.28302407221664999</v>
      </c>
      <c r="N29" s="9">
        <v>1.3561935807422267</v>
      </c>
      <c r="O29" s="8">
        <v>20.6</v>
      </c>
      <c r="P29" s="8">
        <v>-3.3999999999999986</v>
      </c>
      <c r="Q29" s="8"/>
      <c r="R29" s="9">
        <f t="shared" si="0"/>
        <v>14.006894684052151</v>
      </c>
      <c r="S29" s="9">
        <f t="shared" si="1"/>
        <v>7.5624032096288838</v>
      </c>
      <c r="T29" s="8">
        <v>2.5489999999999995</v>
      </c>
    </row>
    <row r="30" spans="1:21" x14ac:dyDescent="0.2">
      <c r="A30" s="32">
        <v>11</v>
      </c>
      <c r="B30" s="32" t="s">
        <v>116</v>
      </c>
      <c r="C30" s="32"/>
      <c r="D30" s="34">
        <v>2</v>
      </c>
      <c r="E30" s="42">
        <v>4</v>
      </c>
      <c r="F30" s="34">
        <v>4</v>
      </c>
      <c r="G30" s="33" t="s">
        <v>100</v>
      </c>
      <c r="H30" s="33" t="s">
        <v>117</v>
      </c>
      <c r="I30" s="33">
        <v>30</v>
      </c>
      <c r="J30" s="67">
        <v>8.6650000000000009</v>
      </c>
      <c r="K30" s="68"/>
      <c r="L30" s="42">
        <v>0.43052932405566607</v>
      </c>
      <c r="M30" s="42">
        <v>0.20055914512922465</v>
      </c>
      <c r="N30" s="42">
        <v>0.31235089463220678</v>
      </c>
      <c r="O30" s="33">
        <v>50</v>
      </c>
      <c r="P30" s="33">
        <v>26</v>
      </c>
      <c r="Q30" s="33"/>
      <c r="R30" s="42">
        <f t="shared" si="0"/>
        <v>37.305365929423473</v>
      </c>
      <c r="S30" s="42">
        <f t="shared" si="1"/>
        <v>17.37844992544732</v>
      </c>
      <c r="T30" s="33">
        <v>6.5249999999999986</v>
      </c>
      <c r="U30" s="32"/>
    </row>
    <row r="31" spans="1:21" x14ac:dyDescent="0.2">
      <c r="A31" s="32">
        <v>18</v>
      </c>
      <c r="B31" s="32" t="s">
        <v>120</v>
      </c>
      <c r="C31" s="32"/>
      <c r="D31" s="34">
        <v>3</v>
      </c>
      <c r="E31" s="42">
        <v>4</v>
      </c>
      <c r="F31" s="34">
        <v>4</v>
      </c>
      <c r="G31" s="33" t="s">
        <v>91</v>
      </c>
      <c r="H31" s="33" t="s">
        <v>115</v>
      </c>
      <c r="I31" s="33">
        <v>27</v>
      </c>
      <c r="J31" s="1">
        <v>5.4159999999999986</v>
      </c>
      <c r="K31" s="19"/>
      <c r="L31" s="9">
        <v>0.52481343283582083</v>
      </c>
      <c r="M31" s="9">
        <v>0.26405472636815919</v>
      </c>
      <c r="N31" s="9">
        <v>1.3064676616915423</v>
      </c>
      <c r="O31" s="8">
        <v>30.4</v>
      </c>
      <c r="P31" s="8">
        <v>6.3999999999999986</v>
      </c>
      <c r="Q31" s="8"/>
      <c r="R31" s="9">
        <f t="shared" si="0"/>
        <v>28.423895522388047</v>
      </c>
      <c r="S31" s="9">
        <f t="shared" si="1"/>
        <v>14.301203980099498</v>
      </c>
      <c r="T31" s="8">
        <v>2.6719999999999988</v>
      </c>
    </row>
    <row r="32" spans="1:21" x14ac:dyDescent="0.2">
      <c r="A32" s="32">
        <v>18</v>
      </c>
      <c r="B32" s="32" t="s">
        <v>116</v>
      </c>
      <c r="C32" s="32"/>
      <c r="D32" s="34">
        <v>3</v>
      </c>
      <c r="E32" s="42">
        <v>4</v>
      </c>
      <c r="F32" s="34">
        <v>4</v>
      </c>
      <c r="G32" s="33" t="s">
        <v>100</v>
      </c>
      <c r="H32" s="33" t="s">
        <v>117</v>
      </c>
      <c r="I32" s="33">
        <v>31</v>
      </c>
      <c r="J32" s="1">
        <v>5.1499999999999986</v>
      </c>
      <c r="K32" s="19"/>
      <c r="L32" s="9">
        <v>0.28967581047381541</v>
      </c>
      <c r="M32" s="9">
        <v>0.1240648379052369</v>
      </c>
      <c r="N32" s="9">
        <v>0.25250623441396508</v>
      </c>
      <c r="O32" s="8">
        <v>29.4</v>
      </c>
      <c r="P32" s="8">
        <v>5.3999999999999986</v>
      </c>
      <c r="Q32" s="8"/>
      <c r="R32" s="9">
        <f t="shared" si="0"/>
        <v>14.91830423940149</v>
      </c>
      <c r="S32" s="9">
        <f t="shared" si="1"/>
        <v>6.3893391521196987</v>
      </c>
      <c r="T32" s="8">
        <v>7.6440000000000001</v>
      </c>
    </row>
    <row r="33" spans="1:21" x14ac:dyDescent="0.2">
      <c r="A33" s="32">
        <v>25</v>
      </c>
      <c r="B33" s="32" t="s">
        <v>120</v>
      </c>
      <c r="C33" s="32"/>
      <c r="D33" s="34">
        <v>4</v>
      </c>
      <c r="E33" s="42">
        <v>4</v>
      </c>
      <c r="F33" s="34">
        <v>4</v>
      </c>
      <c r="G33" s="33" t="s">
        <v>91</v>
      </c>
      <c r="H33" s="33" t="s">
        <v>115</v>
      </c>
      <c r="I33" s="33">
        <v>28</v>
      </c>
      <c r="J33" s="1">
        <v>2.5489999999999995</v>
      </c>
      <c r="K33" s="19">
        <f>AVERAGE(J30:J33)</f>
        <v>5.4449999999999994</v>
      </c>
      <c r="L33" s="9">
        <v>0.48358040201005026</v>
      </c>
      <c r="M33" s="9">
        <v>0.23899497487437182</v>
      </c>
      <c r="N33" s="9">
        <v>1.1576130653266332</v>
      </c>
      <c r="O33" s="8">
        <v>24</v>
      </c>
      <c r="P33" s="8">
        <v>0</v>
      </c>
      <c r="Q33" s="19">
        <f>AVERAGE(P30:P33)</f>
        <v>9.4499999999999993</v>
      </c>
      <c r="R33" s="9">
        <f t="shared" si="0"/>
        <v>12.326464447236178</v>
      </c>
      <c r="S33" s="9">
        <f t="shared" si="1"/>
        <v>6.0919819095477372</v>
      </c>
      <c r="T33" s="8">
        <v>5.4159999999999986</v>
      </c>
    </row>
    <row r="34" spans="1:21" s="25" customFormat="1" x14ac:dyDescent="0.2">
      <c r="A34" s="25">
        <v>25</v>
      </c>
      <c r="B34" s="25" t="s">
        <v>116</v>
      </c>
      <c r="D34" s="43">
        <v>4</v>
      </c>
      <c r="E34" s="46">
        <v>4</v>
      </c>
      <c r="F34" s="43">
        <v>4</v>
      </c>
      <c r="G34" s="26" t="s">
        <v>100</v>
      </c>
      <c r="H34" s="26" t="s">
        <v>117</v>
      </c>
      <c r="I34" s="26">
        <v>32</v>
      </c>
      <c r="J34" s="44">
        <v>7.6440000000000001</v>
      </c>
      <c r="K34" s="45">
        <f>AVERAGE(J31:J34)</f>
        <v>5.1897499999999992</v>
      </c>
      <c r="L34" s="46">
        <v>0.37296323894684547</v>
      </c>
      <c r="M34" s="46">
        <v>0.19448584202682562</v>
      </c>
      <c r="N34" s="46">
        <v>0.29119473422752107</v>
      </c>
      <c r="O34" s="26">
        <v>69.8</v>
      </c>
      <c r="P34" s="26">
        <v>45.8</v>
      </c>
      <c r="Q34" s="45">
        <f>AVERAGE(P31:P34)</f>
        <v>14.399999999999999</v>
      </c>
      <c r="R34" s="46">
        <f t="shared" si="0"/>
        <v>28.50930998509687</v>
      </c>
      <c r="S34" s="46">
        <f t="shared" si="1"/>
        <v>14.86649776453055</v>
      </c>
      <c r="T34" s="26">
        <v>8.6650000000000009</v>
      </c>
    </row>
    <row r="35" spans="1:21" x14ac:dyDescent="0.2">
      <c r="A35" s="32">
        <v>5</v>
      </c>
      <c r="B35" s="32" t="s">
        <v>121</v>
      </c>
      <c r="C35" s="32"/>
      <c r="D35" s="34">
        <v>1</v>
      </c>
      <c r="E35" s="42">
        <v>5</v>
      </c>
      <c r="F35" s="42">
        <v>5</v>
      </c>
      <c r="G35" s="33" t="s">
        <v>100</v>
      </c>
      <c r="H35" s="33" t="s">
        <v>117</v>
      </c>
      <c r="I35" s="33">
        <v>33</v>
      </c>
      <c r="J35" s="1">
        <v>8.0980000000000008</v>
      </c>
      <c r="K35" s="19"/>
      <c r="L35" s="9">
        <v>0.30246653445711447</v>
      </c>
      <c r="M35" s="9">
        <v>0.1551685671789787</v>
      </c>
      <c r="N35" s="9">
        <v>0.24100148735746157</v>
      </c>
      <c r="O35" s="8">
        <v>24.2</v>
      </c>
      <c r="P35" s="8">
        <v>0.19999999999999929</v>
      </c>
      <c r="Q35" s="8"/>
      <c r="R35" s="9">
        <f t="shared" ref="R35:R58" si="2">$J35*L35*10</f>
        <v>24.493739960337134</v>
      </c>
      <c r="S35" s="9">
        <f t="shared" ref="S35:S58" si="3">$J35*M35*10</f>
        <v>12.565550570153697</v>
      </c>
      <c r="T35" s="8">
        <v>2.5749999999999993</v>
      </c>
    </row>
    <row r="36" spans="1:21" x14ac:dyDescent="0.2">
      <c r="A36" s="32">
        <v>5</v>
      </c>
      <c r="B36" s="32" t="s">
        <v>122</v>
      </c>
      <c r="C36" s="32"/>
      <c r="D36" s="34">
        <v>1</v>
      </c>
      <c r="E36" s="42">
        <v>5</v>
      </c>
      <c r="F36" s="34">
        <v>5</v>
      </c>
      <c r="G36" s="33" t="s">
        <v>100</v>
      </c>
      <c r="H36" s="33" t="s">
        <v>117</v>
      </c>
      <c r="I36" s="33">
        <v>37</v>
      </c>
      <c r="J36" s="1">
        <v>8.7969999999999988</v>
      </c>
      <c r="K36" s="19"/>
      <c r="L36" s="9">
        <v>0.35949573507275462</v>
      </c>
      <c r="M36" s="9">
        <v>0.17390868038133467</v>
      </c>
      <c r="N36" s="9">
        <v>0.28710486703462118</v>
      </c>
      <c r="O36" s="8">
        <v>30</v>
      </c>
      <c r="P36" s="8">
        <v>6</v>
      </c>
      <c r="Q36" s="8"/>
      <c r="R36" s="9">
        <f t="shared" si="2"/>
        <v>31.624839814350221</v>
      </c>
      <c r="S36" s="9">
        <f t="shared" si="3"/>
        <v>15.298746613146008</v>
      </c>
      <c r="T36" s="8">
        <v>4.5849999999999991</v>
      </c>
    </row>
    <row r="37" spans="1:21" x14ac:dyDescent="0.2">
      <c r="A37" s="32">
        <v>12</v>
      </c>
      <c r="B37" s="32" t="s">
        <v>121</v>
      </c>
      <c r="C37" s="32"/>
      <c r="D37" s="34">
        <v>2</v>
      </c>
      <c r="E37" s="42">
        <v>5</v>
      </c>
      <c r="F37" s="34">
        <v>5</v>
      </c>
      <c r="G37" s="33" t="s">
        <v>100</v>
      </c>
      <c r="H37" s="33" t="s">
        <v>117</v>
      </c>
      <c r="I37" s="33">
        <v>34</v>
      </c>
      <c r="J37" s="1">
        <v>5.9789999999999992</v>
      </c>
      <c r="K37" s="19"/>
      <c r="L37" s="9">
        <v>0.30947671507260893</v>
      </c>
      <c r="M37" s="9">
        <v>0.15474461692538813</v>
      </c>
      <c r="N37" s="9">
        <v>0.25441912869303956</v>
      </c>
      <c r="O37" s="8">
        <v>53.2</v>
      </c>
      <c r="P37" s="8">
        <v>29.200000000000003</v>
      </c>
      <c r="Q37" s="8"/>
      <c r="R37" s="9">
        <f t="shared" si="2"/>
        <v>18.503612794191287</v>
      </c>
      <c r="S37" s="9">
        <f t="shared" si="3"/>
        <v>9.2521806459689557</v>
      </c>
      <c r="T37" s="8">
        <v>5.9789999999999992</v>
      </c>
    </row>
    <row r="38" spans="1:21" x14ac:dyDescent="0.2">
      <c r="A38" s="32">
        <v>12</v>
      </c>
      <c r="B38" s="32" t="s">
        <v>122</v>
      </c>
      <c r="C38" s="32"/>
      <c r="D38" s="34">
        <v>2</v>
      </c>
      <c r="E38" s="42">
        <v>5</v>
      </c>
      <c r="F38" s="34">
        <v>5</v>
      </c>
      <c r="G38" s="33" t="s">
        <v>100</v>
      </c>
      <c r="H38" s="33" t="s">
        <v>117</v>
      </c>
      <c r="I38" s="33">
        <v>38</v>
      </c>
      <c r="J38" s="67">
        <v>9.118999999999998</v>
      </c>
      <c r="K38" s="68"/>
      <c r="L38" s="42">
        <v>0.36999246987951817</v>
      </c>
      <c r="M38" s="42">
        <v>0.17697038152610445</v>
      </c>
      <c r="N38" s="42">
        <v>0.23271837349397592</v>
      </c>
      <c r="O38" s="33">
        <v>95.6</v>
      </c>
      <c r="P38" s="33">
        <v>71.599999999999994</v>
      </c>
      <c r="Q38" s="33"/>
      <c r="R38" s="42">
        <f t="shared" si="2"/>
        <v>33.739613328313254</v>
      </c>
      <c r="S38" s="42">
        <f t="shared" si="3"/>
        <v>16.137929091365461</v>
      </c>
      <c r="T38" s="33">
        <v>8.4500000000000011</v>
      </c>
      <c r="U38" s="32"/>
    </row>
    <row r="39" spans="1:21" x14ac:dyDescent="0.2">
      <c r="A39" s="32">
        <v>19</v>
      </c>
      <c r="B39" s="32" t="s">
        <v>121</v>
      </c>
      <c r="C39" s="32"/>
      <c r="D39" s="34">
        <v>3</v>
      </c>
      <c r="E39" s="42">
        <v>5</v>
      </c>
      <c r="F39" s="34">
        <v>5</v>
      </c>
      <c r="G39" s="33" t="s">
        <v>100</v>
      </c>
      <c r="H39" s="33" t="s">
        <v>117</v>
      </c>
      <c r="I39" s="33">
        <v>35</v>
      </c>
      <c r="J39" s="1">
        <v>2.5749999999999993</v>
      </c>
      <c r="K39" s="19"/>
      <c r="L39" s="9">
        <v>0.25822895791583167</v>
      </c>
      <c r="M39" s="9">
        <v>0.14160821643286572</v>
      </c>
      <c r="N39" s="9">
        <v>0.28019789579158316</v>
      </c>
      <c r="O39" s="8">
        <v>36.4</v>
      </c>
      <c r="P39" s="8">
        <v>12.399999999999999</v>
      </c>
      <c r="Q39" s="8"/>
      <c r="R39" s="9">
        <f t="shared" si="2"/>
        <v>6.6493956663326639</v>
      </c>
      <c r="S39" s="9">
        <f t="shared" si="3"/>
        <v>3.6464115731462914</v>
      </c>
      <c r="T39" s="8">
        <v>8.0980000000000008</v>
      </c>
    </row>
    <row r="40" spans="1:21" x14ac:dyDescent="0.2">
      <c r="A40" s="32">
        <v>19</v>
      </c>
      <c r="B40" s="32" t="s">
        <v>122</v>
      </c>
      <c r="C40" s="32"/>
      <c r="D40" s="34">
        <v>3</v>
      </c>
      <c r="E40" s="42">
        <v>5</v>
      </c>
      <c r="F40" s="34">
        <v>5</v>
      </c>
      <c r="G40" s="33" t="s">
        <v>100</v>
      </c>
      <c r="H40" s="33" t="s">
        <v>117</v>
      </c>
      <c r="I40" s="33">
        <v>39</v>
      </c>
      <c r="J40" s="1">
        <v>4.5849999999999991</v>
      </c>
      <c r="K40" s="19"/>
      <c r="L40" s="9">
        <v>0.30883300297324079</v>
      </c>
      <c r="M40" s="9">
        <v>0.15486868186323091</v>
      </c>
      <c r="N40" s="9">
        <v>0.29261645193260649</v>
      </c>
      <c r="O40" s="8">
        <v>21.6</v>
      </c>
      <c r="P40" s="8">
        <v>-2.3999999999999986</v>
      </c>
      <c r="Q40" s="8"/>
      <c r="R40" s="9">
        <f t="shared" si="2"/>
        <v>14.159993186323089</v>
      </c>
      <c r="S40" s="9">
        <f t="shared" si="3"/>
        <v>7.1007290634291351</v>
      </c>
      <c r="T40" s="8">
        <v>8.7969999999999988</v>
      </c>
    </row>
    <row r="41" spans="1:21" x14ac:dyDescent="0.2">
      <c r="A41" s="32">
        <v>26</v>
      </c>
      <c r="B41" s="32" t="s">
        <v>121</v>
      </c>
      <c r="C41" s="32"/>
      <c r="D41" s="34">
        <v>4</v>
      </c>
      <c r="E41" s="42">
        <v>5</v>
      </c>
      <c r="F41" s="34">
        <v>5</v>
      </c>
      <c r="G41" s="33" t="s">
        <v>100</v>
      </c>
      <c r="H41" s="33" t="s">
        <v>117</v>
      </c>
      <c r="I41" s="33">
        <v>36</v>
      </c>
      <c r="J41" s="1">
        <v>10.63</v>
      </c>
      <c r="K41" s="19">
        <f>AVERAGE(J38:J41)</f>
        <v>6.7272499999999997</v>
      </c>
      <c r="L41" s="9">
        <v>0.28979899497487438</v>
      </c>
      <c r="M41" s="9">
        <v>0.16582914572864318</v>
      </c>
      <c r="N41" s="9">
        <v>0.2235427135678392</v>
      </c>
      <c r="O41" s="8">
        <v>70.2</v>
      </c>
      <c r="P41" s="8">
        <v>46.2</v>
      </c>
      <c r="Q41" s="19">
        <f>AVERAGE(P38:P41)</f>
        <v>31.95</v>
      </c>
      <c r="R41" s="9">
        <f t="shared" si="2"/>
        <v>30.805633165829146</v>
      </c>
      <c r="S41" s="9">
        <f t="shared" si="3"/>
        <v>17.627638190954769</v>
      </c>
      <c r="T41" s="8">
        <v>10.63</v>
      </c>
    </row>
    <row r="42" spans="1:21" x14ac:dyDescent="0.2">
      <c r="A42" s="32">
        <v>26</v>
      </c>
      <c r="B42" s="32" t="s">
        <v>122</v>
      </c>
      <c r="C42" s="32"/>
      <c r="D42" s="34">
        <v>4</v>
      </c>
      <c r="E42" s="42">
        <v>5</v>
      </c>
      <c r="F42" s="34">
        <v>5</v>
      </c>
      <c r="G42" s="33" t="s">
        <v>100</v>
      </c>
      <c r="H42" s="33" t="s">
        <v>117</v>
      </c>
      <c r="I42" s="33">
        <v>40</v>
      </c>
      <c r="J42" s="67">
        <v>8.4500000000000011</v>
      </c>
      <c r="K42" s="68">
        <f>AVERAGE(J39:J42)</f>
        <v>6.5600000000000005</v>
      </c>
      <c r="L42" s="42">
        <v>0.29479322371699052</v>
      </c>
      <c r="M42" s="42">
        <v>0.14958893871449927</v>
      </c>
      <c r="N42" s="42">
        <v>0.2623069257598406</v>
      </c>
      <c r="O42" s="33">
        <v>54.4</v>
      </c>
      <c r="P42" s="33">
        <v>30.4</v>
      </c>
      <c r="Q42" s="68">
        <f>AVERAGE(P39:P42)</f>
        <v>21.65</v>
      </c>
      <c r="R42" s="42">
        <f t="shared" si="2"/>
        <v>24.910027404085703</v>
      </c>
      <c r="S42" s="42">
        <f t="shared" si="3"/>
        <v>12.640265321375191</v>
      </c>
      <c r="T42" s="33">
        <v>9.118999999999998</v>
      </c>
    </row>
    <row r="43" spans="1:21" x14ac:dyDescent="0.2">
      <c r="A43" s="32">
        <v>6</v>
      </c>
      <c r="B43" s="32" t="s">
        <v>123</v>
      </c>
      <c r="C43" s="32"/>
      <c r="D43" s="34">
        <v>1</v>
      </c>
      <c r="E43" s="42">
        <v>6</v>
      </c>
      <c r="F43" s="34">
        <v>6</v>
      </c>
      <c r="G43" s="33" t="s">
        <v>91</v>
      </c>
      <c r="H43" s="33" t="s">
        <v>115</v>
      </c>
      <c r="I43" s="33">
        <v>41</v>
      </c>
      <c r="J43" s="1">
        <v>2.6499999999999986</v>
      </c>
      <c r="K43" s="19"/>
      <c r="L43" s="9">
        <v>0.56788749999999988</v>
      </c>
      <c r="M43" s="9">
        <v>0.2339125</v>
      </c>
      <c r="N43" s="9">
        <v>1.365875</v>
      </c>
      <c r="O43" s="8">
        <v>23.6</v>
      </c>
      <c r="P43" s="8">
        <v>-0.39999999999999858</v>
      </c>
      <c r="Q43" s="8"/>
      <c r="R43" s="9">
        <f t="shared" si="2"/>
        <v>15.049018749999989</v>
      </c>
      <c r="S43" s="9">
        <f t="shared" si="3"/>
        <v>6.1986812499999964</v>
      </c>
      <c r="T43" s="8">
        <v>2.3969999999999985</v>
      </c>
    </row>
    <row r="44" spans="1:21" x14ac:dyDescent="0.2">
      <c r="A44" s="32">
        <v>6</v>
      </c>
      <c r="B44" s="32" t="s">
        <v>124</v>
      </c>
      <c r="C44" s="32"/>
      <c r="D44" s="34">
        <v>1</v>
      </c>
      <c r="E44" s="42">
        <v>6</v>
      </c>
      <c r="F44" s="34">
        <v>6</v>
      </c>
      <c r="G44" s="33" t="s">
        <v>91</v>
      </c>
      <c r="H44" s="33" t="s">
        <v>115</v>
      </c>
      <c r="I44" s="33">
        <v>45</v>
      </c>
      <c r="J44" s="1">
        <v>2.2719999999999985</v>
      </c>
      <c r="K44" s="19"/>
      <c r="L44" s="9">
        <v>0.55636182902584497</v>
      </c>
      <c r="M44" s="9">
        <v>0.25254721669980124</v>
      </c>
      <c r="N44" s="9">
        <v>1.4268141153081511</v>
      </c>
      <c r="O44" s="8">
        <v>23.2</v>
      </c>
      <c r="P44" s="8">
        <v>-0.80000000000000071</v>
      </c>
      <c r="Q44" s="8"/>
      <c r="R44" s="9">
        <f t="shared" si="2"/>
        <v>12.640540755467189</v>
      </c>
      <c r="S44" s="9">
        <f t="shared" si="3"/>
        <v>5.7378727634194799</v>
      </c>
      <c r="T44" s="8">
        <v>1.3780000000000001</v>
      </c>
    </row>
    <row r="45" spans="1:21" x14ac:dyDescent="0.2">
      <c r="A45" s="32">
        <v>13</v>
      </c>
      <c r="B45" s="32" t="s">
        <v>123</v>
      </c>
      <c r="C45" s="32"/>
      <c r="D45" s="34">
        <v>2</v>
      </c>
      <c r="E45" s="42">
        <v>6</v>
      </c>
      <c r="F45" s="34">
        <v>6</v>
      </c>
      <c r="G45" s="33" t="s">
        <v>91</v>
      </c>
      <c r="H45" s="33" t="s">
        <v>115</v>
      </c>
      <c r="I45" s="33">
        <v>42</v>
      </c>
      <c r="J45" s="1">
        <v>2.3969999999999985</v>
      </c>
      <c r="K45" s="19"/>
      <c r="L45" s="9">
        <v>0.56155589123867067</v>
      </c>
      <c r="M45" s="9">
        <v>0.25305891238670697</v>
      </c>
      <c r="N45" s="9">
        <v>1.3703423967774422</v>
      </c>
      <c r="O45" s="8">
        <v>23.2</v>
      </c>
      <c r="P45" s="8">
        <v>-0.80000000000000071</v>
      </c>
      <c r="Q45" s="8"/>
      <c r="R45" s="9">
        <f t="shared" si="2"/>
        <v>13.460494712990927</v>
      </c>
      <c r="S45" s="9">
        <f t="shared" si="3"/>
        <v>6.0658221299093622</v>
      </c>
      <c r="T45" s="8">
        <v>2.6499999999999986</v>
      </c>
    </row>
    <row r="46" spans="1:21" x14ac:dyDescent="0.2">
      <c r="A46" s="32">
        <v>13</v>
      </c>
      <c r="B46" s="32" t="s">
        <v>124</v>
      </c>
      <c r="C46" s="32"/>
      <c r="D46" s="34">
        <v>2</v>
      </c>
      <c r="E46" s="42">
        <v>6</v>
      </c>
      <c r="F46" s="34">
        <v>6</v>
      </c>
      <c r="G46" s="33" t="s">
        <v>91</v>
      </c>
      <c r="H46" s="33" t="s">
        <v>115</v>
      </c>
      <c r="I46" s="33">
        <v>46</v>
      </c>
      <c r="J46" s="1">
        <v>1.3780000000000001</v>
      </c>
      <c r="K46" s="19"/>
      <c r="L46" s="9">
        <v>0.44039710289710293</v>
      </c>
      <c r="M46" s="9">
        <v>0.26106393606393608</v>
      </c>
      <c r="N46" s="9">
        <v>1.3919830169830172</v>
      </c>
      <c r="O46" s="8">
        <v>29.2</v>
      </c>
      <c r="P46" s="8">
        <v>5.1999999999999993</v>
      </c>
      <c r="Q46" s="8"/>
      <c r="R46" s="9">
        <f t="shared" si="2"/>
        <v>6.0686720779220789</v>
      </c>
      <c r="S46" s="9">
        <f t="shared" si="3"/>
        <v>3.5974610389610397</v>
      </c>
      <c r="T46" s="8">
        <v>2.2719999999999985</v>
      </c>
    </row>
    <row r="47" spans="1:21" x14ac:dyDescent="0.2">
      <c r="A47" s="32">
        <v>20</v>
      </c>
      <c r="B47" s="32" t="s">
        <v>123</v>
      </c>
      <c r="C47" s="32"/>
      <c r="D47" s="34">
        <v>3</v>
      </c>
      <c r="E47" s="42">
        <v>6</v>
      </c>
      <c r="F47" s="34">
        <v>6</v>
      </c>
      <c r="G47" s="33" t="s">
        <v>91</v>
      </c>
      <c r="H47" s="33" t="s">
        <v>115</v>
      </c>
      <c r="I47" s="33">
        <v>43</v>
      </c>
      <c r="J47" s="1">
        <v>2.8729999999999993</v>
      </c>
      <c r="K47" s="19"/>
      <c r="L47" s="9">
        <v>0.60869565217391297</v>
      </c>
      <c r="M47" s="9">
        <v>0.27012743628185909</v>
      </c>
      <c r="N47" s="9">
        <v>1.4176661669165418</v>
      </c>
      <c r="O47" s="8">
        <v>22.6</v>
      </c>
      <c r="P47" s="8">
        <v>-1.3999999999999986</v>
      </c>
      <c r="Q47" s="8"/>
      <c r="R47" s="9">
        <f t="shared" si="2"/>
        <v>17.487826086956517</v>
      </c>
      <c r="S47" s="9">
        <f t="shared" si="3"/>
        <v>7.7607612443778091</v>
      </c>
      <c r="T47" s="8">
        <v>2.8729999999999993</v>
      </c>
    </row>
    <row r="48" spans="1:21" x14ac:dyDescent="0.2">
      <c r="A48" s="32">
        <v>20</v>
      </c>
      <c r="B48" s="32" t="s">
        <v>124</v>
      </c>
      <c r="C48" s="32"/>
      <c r="D48" s="34">
        <v>3</v>
      </c>
      <c r="E48" s="42">
        <v>6</v>
      </c>
      <c r="F48" s="34">
        <v>6</v>
      </c>
      <c r="G48" s="33" t="s">
        <v>91</v>
      </c>
      <c r="H48" s="33" t="s">
        <v>115</v>
      </c>
      <c r="I48" s="33">
        <v>47</v>
      </c>
      <c r="J48" s="67">
        <v>2.9559999999999995</v>
      </c>
      <c r="K48" s="68"/>
      <c r="L48" s="42">
        <v>0.50417500000000004</v>
      </c>
      <c r="M48" s="42">
        <v>0.2409125</v>
      </c>
      <c r="N48" s="42">
        <v>1.348125</v>
      </c>
      <c r="O48" s="33">
        <v>27.2</v>
      </c>
      <c r="P48" s="33">
        <v>3.1999999999999993</v>
      </c>
      <c r="Q48" s="33"/>
      <c r="R48" s="42">
        <f t="shared" si="2"/>
        <v>14.903412999999999</v>
      </c>
      <c r="S48" s="42">
        <f t="shared" si="3"/>
        <v>7.1213734999999989</v>
      </c>
      <c r="T48" s="33">
        <v>2.4309999999999992</v>
      </c>
      <c r="U48" s="32"/>
    </row>
    <row r="49" spans="1:22" x14ac:dyDescent="0.2">
      <c r="A49" s="32">
        <v>27</v>
      </c>
      <c r="B49" s="32" t="s">
        <v>123</v>
      </c>
      <c r="C49" s="32"/>
      <c r="D49" s="34">
        <v>4</v>
      </c>
      <c r="E49" s="42">
        <v>6</v>
      </c>
      <c r="F49" s="34">
        <v>6</v>
      </c>
      <c r="G49" s="33" t="s">
        <v>91</v>
      </c>
      <c r="H49" s="33" t="s">
        <v>115</v>
      </c>
      <c r="I49" s="33">
        <v>44</v>
      </c>
      <c r="J49" s="1">
        <v>5.4929999999999986</v>
      </c>
      <c r="K49" s="19">
        <f>AVERAGE(J46:J49)</f>
        <v>3.1749999999999994</v>
      </c>
      <c r="L49" s="9">
        <v>0.54754901960784319</v>
      </c>
      <c r="M49" s="9">
        <v>0.28218954248366013</v>
      </c>
      <c r="N49" s="9">
        <v>1.4786324786324787</v>
      </c>
      <c r="O49" s="8">
        <v>28.2</v>
      </c>
      <c r="P49" s="8">
        <v>4.1999999999999993</v>
      </c>
      <c r="Q49" s="19">
        <f>AVERAGE(P46:P49)</f>
        <v>2.8</v>
      </c>
      <c r="R49" s="9">
        <f t="shared" si="2"/>
        <v>30.076867647058819</v>
      </c>
      <c r="S49" s="9">
        <f t="shared" si="3"/>
        <v>15.500671568627446</v>
      </c>
      <c r="T49" s="8">
        <v>5.4929999999999986</v>
      </c>
    </row>
    <row r="50" spans="1:22" x14ac:dyDescent="0.2">
      <c r="A50" s="32">
        <v>27</v>
      </c>
      <c r="B50" s="32" t="s">
        <v>124</v>
      </c>
      <c r="C50" s="32"/>
      <c r="D50" s="34">
        <v>4</v>
      </c>
      <c r="E50" s="42">
        <v>6</v>
      </c>
      <c r="F50" s="34">
        <v>6</v>
      </c>
      <c r="G50" s="33" t="s">
        <v>91</v>
      </c>
      <c r="H50" s="33" t="s">
        <v>115</v>
      </c>
      <c r="I50" s="33">
        <v>48</v>
      </c>
      <c r="J50" s="1">
        <v>2.4309999999999992</v>
      </c>
      <c r="K50" s="19">
        <f>AVERAGE(J47:J50)</f>
        <v>3.4382499999999991</v>
      </c>
      <c r="L50" s="9">
        <v>0.49741249999999992</v>
      </c>
      <c r="M50" s="9">
        <v>0.28778749999999997</v>
      </c>
      <c r="N50" s="9">
        <v>1.41475</v>
      </c>
      <c r="O50" s="8">
        <v>28.6</v>
      </c>
      <c r="P50" s="8">
        <v>4.6000000000000014</v>
      </c>
      <c r="Q50" s="19">
        <f>AVERAGE(P47:P50)</f>
        <v>2.6500000000000004</v>
      </c>
      <c r="R50" s="9">
        <f t="shared" si="2"/>
        <v>12.092097874999993</v>
      </c>
      <c r="S50" s="9">
        <f t="shared" si="3"/>
        <v>6.9961141249999965</v>
      </c>
      <c r="T50" s="8">
        <v>2.9559999999999995</v>
      </c>
    </row>
    <row r="51" spans="1:22" x14ac:dyDescent="0.2">
      <c r="A51" s="32">
        <v>7</v>
      </c>
      <c r="B51" s="32" t="s">
        <v>125</v>
      </c>
      <c r="C51" s="32"/>
      <c r="D51" s="34">
        <v>1</v>
      </c>
      <c r="E51" s="42">
        <v>7</v>
      </c>
      <c r="F51" s="34">
        <v>7</v>
      </c>
      <c r="G51" s="33" t="s">
        <v>91</v>
      </c>
      <c r="H51" s="33" t="s">
        <v>117</v>
      </c>
      <c r="I51" s="33">
        <v>49</v>
      </c>
      <c r="J51" s="1">
        <v>7.2490000000000006</v>
      </c>
      <c r="K51" s="19"/>
      <c r="L51" s="9">
        <v>0.57129954841946806</v>
      </c>
      <c r="M51" s="9">
        <v>0.24277471149021571</v>
      </c>
      <c r="N51" s="9">
        <v>1.2382212744606123</v>
      </c>
      <c r="O51" s="8">
        <v>22.8</v>
      </c>
      <c r="P51" s="8">
        <v>-1.1999999999999993</v>
      </c>
      <c r="Q51" s="8"/>
      <c r="R51" s="9">
        <f t="shared" si="2"/>
        <v>41.413504264927241</v>
      </c>
      <c r="S51" s="9">
        <f t="shared" si="3"/>
        <v>17.598738835925737</v>
      </c>
      <c r="T51" s="8">
        <v>2.3629999999999995</v>
      </c>
    </row>
    <row r="52" spans="1:22" x14ac:dyDescent="0.2">
      <c r="A52" s="32">
        <v>7</v>
      </c>
      <c r="B52" s="32" t="s">
        <v>126</v>
      </c>
      <c r="C52" s="32"/>
      <c r="D52" s="34">
        <v>1</v>
      </c>
      <c r="E52" s="42">
        <v>7</v>
      </c>
      <c r="F52" s="34">
        <v>7</v>
      </c>
      <c r="G52" s="33" t="s">
        <v>91</v>
      </c>
      <c r="H52" s="33" t="s">
        <v>117</v>
      </c>
      <c r="I52" s="33">
        <v>53</v>
      </c>
      <c r="J52" s="1">
        <v>1.7109999999999985</v>
      </c>
      <c r="K52" s="19"/>
      <c r="L52" s="9">
        <v>0.46993058998512643</v>
      </c>
      <c r="M52" s="9">
        <v>0.23200297471492318</v>
      </c>
      <c r="N52" s="9">
        <v>1.447198810114031</v>
      </c>
      <c r="O52" s="8">
        <v>30.8</v>
      </c>
      <c r="P52" s="8">
        <v>6.8000000000000007</v>
      </c>
      <c r="Q52" s="8"/>
      <c r="R52" s="9">
        <f t="shared" si="2"/>
        <v>8.0405123946455053</v>
      </c>
      <c r="S52" s="9">
        <f t="shared" si="3"/>
        <v>3.969570897372332</v>
      </c>
      <c r="T52" s="8">
        <v>1.7109999999999985</v>
      </c>
    </row>
    <row r="53" spans="1:22" x14ac:dyDescent="0.2">
      <c r="A53" s="32">
        <v>14</v>
      </c>
      <c r="B53" s="32" t="s">
        <v>125</v>
      </c>
      <c r="C53" s="32"/>
      <c r="D53" s="34">
        <v>2</v>
      </c>
      <c r="E53" s="42">
        <v>7</v>
      </c>
      <c r="F53" s="34">
        <v>7</v>
      </c>
      <c r="G53" s="33" t="s">
        <v>91</v>
      </c>
      <c r="H53" s="33" t="s">
        <v>117</v>
      </c>
      <c r="I53" s="33">
        <v>50</v>
      </c>
      <c r="J53" s="1">
        <v>2.3629999999999995</v>
      </c>
      <c r="K53" s="19"/>
      <c r="L53" s="40">
        <v>5.5630574826560961E-2</v>
      </c>
      <c r="M53" s="40">
        <v>3.1173191278493561E-2</v>
      </c>
      <c r="N53" s="40">
        <v>0.16023290386521311</v>
      </c>
      <c r="O53" s="8">
        <v>23.4</v>
      </c>
      <c r="P53" s="8">
        <v>-0.60000000000000142</v>
      </c>
      <c r="Q53" s="8"/>
      <c r="R53" s="9">
        <f t="shared" si="2"/>
        <v>1.3145504831516353</v>
      </c>
      <c r="S53" s="9">
        <f t="shared" si="3"/>
        <v>0.73662250991080269</v>
      </c>
      <c r="T53" s="8">
        <v>3.7439999999999998</v>
      </c>
    </row>
    <row r="54" spans="1:22" x14ac:dyDescent="0.2">
      <c r="A54" s="32">
        <v>21</v>
      </c>
      <c r="B54" s="32" t="s">
        <v>125</v>
      </c>
      <c r="C54" s="32"/>
      <c r="D54" s="34">
        <v>3</v>
      </c>
      <c r="E54" s="42">
        <v>7</v>
      </c>
      <c r="F54" s="34">
        <v>7</v>
      </c>
      <c r="G54" s="33" t="s">
        <v>91</v>
      </c>
      <c r="H54" s="33" t="s">
        <v>117</v>
      </c>
      <c r="I54" s="33">
        <v>51</v>
      </c>
      <c r="J54" s="1">
        <v>5.5519999999999996</v>
      </c>
      <c r="K54" s="19"/>
      <c r="L54" s="9">
        <v>0.51892963330029729</v>
      </c>
      <c r="M54" s="9">
        <v>0.24578790882061444</v>
      </c>
      <c r="N54" s="9">
        <v>1.6326808721506441</v>
      </c>
      <c r="O54" s="8">
        <v>28.8</v>
      </c>
      <c r="P54" s="8">
        <v>4.8000000000000007</v>
      </c>
      <c r="Q54" s="8"/>
      <c r="R54" s="9">
        <f t="shared" si="2"/>
        <v>28.810973240832503</v>
      </c>
      <c r="S54" s="9">
        <f t="shared" si="3"/>
        <v>13.646144697720512</v>
      </c>
      <c r="T54" s="8">
        <v>5.5519999999999996</v>
      </c>
    </row>
    <row r="55" spans="1:22" x14ac:dyDescent="0.2">
      <c r="A55" s="32">
        <v>14</v>
      </c>
      <c r="B55" s="32" t="s">
        <v>126</v>
      </c>
      <c r="C55" s="32"/>
      <c r="D55" s="34">
        <v>3</v>
      </c>
      <c r="E55" s="42">
        <v>7</v>
      </c>
      <c r="F55" s="34">
        <v>7</v>
      </c>
      <c r="G55" s="33" t="s">
        <v>91</v>
      </c>
      <c r="H55" s="33" t="s">
        <v>117</v>
      </c>
      <c r="I55" s="33">
        <v>54</v>
      </c>
      <c r="J55" s="1">
        <v>4.3349999999999991</v>
      </c>
      <c r="K55" s="19"/>
      <c r="L55" s="9">
        <v>0.60924348697394803</v>
      </c>
      <c r="M55" s="9">
        <v>0.29584168336673344</v>
      </c>
      <c r="N55" s="9">
        <v>1.531938877755511</v>
      </c>
      <c r="O55" s="8">
        <v>21.2</v>
      </c>
      <c r="P55" s="8">
        <v>-2.8000000000000007</v>
      </c>
      <c r="Q55" s="8"/>
      <c r="R55" s="9">
        <f t="shared" si="2"/>
        <v>26.410705160320642</v>
      </c>
      <c r="S55" s="9">
        <f t="shared" si="3"/>
        <v>12.824736973947893</v>
      </c>
      <c r="T55" s="8">
        <v>3.3170000000000002</v>
      </c>
    </row>
    <row r="56" spans="1:22" x14ac:dyDescent="0.2">
      <c r="A56" s="32">
        <v>21</v>
      </c>
      <c r="B56" s="32" t="s">
        <v>126</v>
      </c>
      <c r="C56" s="32"/>
      <c r="D56" s="34">
        <v>3</v>
      </c>
      <c r="E56" s="42">
        <v>7</v>
      </c>
      <c r="F56" s="34">
        <v>7</v>
      </c>
      <c r="G56" s="33" t="s">
        <v>91</v>
      </c>
      <c r="H56" s="33" t="s">
        <v>117</v>
      </c>
      <c r="I56" s="33">
        <v>55</v>
      </c>
      <c r="J56" s="1">
        <v>3.3170000000000002</v>
      </c>
      <c r="K56" s="19"/>
      <c r="L56" s="9">
        <v>0.48511278195488722</v>
      </c>
      <c r="M56" s="9">
        <v>0.22567669172932334</v>
      </c>
      <c r="N56" s="9">
        <v>1.1027067669172932</v>
      </c>
      <c r="O56" s="8">
        <v>24.2</v>
      </c>
      <c r="P56" s="8">
        <v>0.19999999999999929</v>
      </c>
      <c r="Q56" s="8"/>
      <c r="R56" s="9">
        <f t="shared" si="2"/>
        <v>16.09119097744361</v>
      </c>
      <c r="S56" s="9">
        <f t="shared" si="3"/>
        <v>7.4856958646616558</v>
      </c>
      <c r="T56" s="8">
        <v>4.3349999999999991</v>
      </c>
    </row>
    <row r="57" spans="1:22" ht="15" x14ac:dyDescent="0.25">
      <c r="A57" s="32">
        <v>28</v>
      </c>
      <c r="B57" s="32" t="s">
        <v>133</v>
      </c>
      <c r="C57" s="32"/>
      <c r="D57" s="34">
        <v>4</v>
      </c>
      <c r="E57" s="42">
        <v>7</v>
      </c>
      <c r="F57" s="34">
        <v>7</v>
      </c>
      <c r="G57" s="33" t="s">
        <v>91</v>
      </c>
      <c r="H57" s="33" t="s">
        <v>117</v>
      </c>
      <c r="I57" s="33">
        <v>52</v>
      </c>
      <c r="J57" s="67">
        <v>3.7439999999999998</v>
      </c>
      <c r="K57" s="68">
        <f>AVERAGE(J54:J57)</f>
        <v>4.2370000000000001</v>
      </c>
      <c r="L57" s="42">
        <v>0.4456153462879921</v>
      </c>
      <c r="M57" s="42">
        <v>0.24976332835077228</v>
      </c>
      <c r="N57" s="42">
        <v>1.3668410563029398</v>
      </c>
      <c r="O57" s="33"/>
      <c r="P57" s="33" t="s">
        <v>146</v>
      </c>
      <c r="Q57" s="68"/>
      <c r="R57" s="42">
        <f t="shared" si="2"/>
        <v>16.683838565022423</v>
      </c>
      <c r="S57" s="42">
        <f t="shared" si="3"/>
        <v>9.3511390134529133</v>
      </c>
      <c r="T57" s="33">
        <v>7.2490000000000006</v>
      </c>
    </row>
    <row r="58" spans="1:22" ht="15" x14ac:dyDescent="0.25">
      <c r="A58" s="32">
        <v>28</v>
      </c>
      <c r="B58" s="32" t="s">
        <v>134</v>
      </c>
      <c r="C58" s="32"/>
      <c r="D58" s="34">
        <v>4</v>
      </c>
      <c r="E58" s="42">
        <v>7</v>
      </c>
      <c r="F58" s="34">
        <v>7</v>
      </c>
      <c r="G58" s="33" t="s">
        <v>91</v>
      </c>
      <c r="H58" s="33" t="s">
        <v>117</v>
      </c>
      <c r="I58" s="33">
        <v>56</v>
      </c>
      <c r="J58" s="67">
        <v>4.9179999999999993</v>
      </c>
      <c r="K58" s="68">
        <f>AVERAGE(J55:J58)</f>
        <v>4.0785</v>
      </c>
      <c r="L58" s="42">
        <v>0.35343014521782673</v>
      </c>
      <c r="M58" s="42">
        <v>0.20604656985478217</v>
      </c>
      <c r="N58" s="74">
        <v>0.24002253380070102</v>
      </c>
      <c r="O58" s="33"/>
      <c r="P58" s="33" t="s">
        <v>146</v>
      </c>
      <c r="Q58" s="33"/>
      <c r="R58" s="42">
        <f t="shared" si="2"/>
        <v>17.381694541812717</v>
      </c>
      <c r="S58" s="42">
        <f t="shared" si="3"/>
        <v>10.133370305458184</v>
      </c>
      <c r="T58" s="33">
        <v>4.9179999999999993</v>
      </c>
    </row>
    <row r="62" spans="1:22" x14ac:dyDescent="0.2">
      <c r="V62" t="s">
        <v>148</v>
      </c>
    </row>
  </sheetData>
  <autoFilter ref="A3:P58"/>
  <sortState ref="A3:U58">
    <sortCondition ref="E3:E58"/>
  </sortState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workbookViewId="0">
      <selection activeCell="O2" sqref="O2"/>
    </sheetView>
  </sheetViews>
  <sheetFormatPr defaultRowHeight="12.75" x14ac:dyDescent="0.2"/>
  <cols>
    <col min="5" max="5" width="9.140625" style="56"/>
    <col min="10" max="11" width="9.140625" style="1"/>
    <col min="15" max="15" width="9.140625" customWidth="1"/>
    <col min="16" max="17" width="11" customWidth="1"/>
  </cols>
  <sheetData>
    <row r="1" spans="1:19" x14ac:dyDescent="0.2">
      <c r="G1" s="2" t="s">
        <v>1</v>
      </c>
      <c r="H1" s="2"/>
      <c r="I1" s="2"/>
    </row>
    <row r="2" spans="1:19" ht="25.5" x14ac:dyDescent="0.2">
      <c r="A2" s="25" t="s">
        <v>144</v>
      </c>
      <c r="B2" s="25" t="s">
        <v>106</v>
      </c>
      <c r="C2" s="25"/>
      <c r="D2" s="26" t="s">
        <v>107</v>
      </c>
      <c r="E2" s="46" t="s">
        <v>108</v>
      </c>
      <c r="F2" s="26" t="s">
        <v>142</v>
      </c>
      <c r="G2" s="26" t="s">
        <v>109</v>
      </c>
      <c r="H2" s="26" t="s">
        <v>117</v>
      </c>
      <c r="I2" s="33" t="s">
        <v>143</v>
      </c>
      <c r="J2" s="3" t="s">
        <v>0</v>
      </c>
      <c r="K2" s="3"/>
      <c r="L2" t="s">
        <v>135</v>
      </c>
      <c r="M2" t="s">
        <v>136</v>
      </c>
      <c r="N2" t="s">
        <v>137</v>
      </c>
      <c r="O2" s="84" t="s">
        <v>140</v>
      </c>
      <c r="P2" t="s">
        <v>141</v>
      </c>
      <c r="R2" t="s">
        <v>145</v>
      </c>
      <c r="S2" t="s">
        <v>147</v>
      </c>
    </row>
    <row r="3" spans="1:19" x14ac:dyDescent="0.2">
      <c r="A3" s="32">
        <v>1</v>
      </c>
      <c r="B3" s="32" t="s">
        <v>114</v>
      </c>
      <c r="C3" s="32"/>
      <c r="D3" s="34">
        <v>1</v>
      </c>
      <c r="E3" s="42">
        <v>1</v>
      </c>
      <c r="F3" s="34">
        <v>1</v>
      </c>
      <c r="G3" s="33" t="s">
        <v>91</v>
      </c>
      <c r="H3" s="33" t="s">
        <v>115</v>
      </c>
      <c r="I3" s="33">
        <v>1</v>
      </c>
      <c r="J3" s="67">
        <v>1.2629999999999999</v>
      </c>
      <c r="K3" s="67"/>
      <c r="L3" s="42">
        <v>0.39062500000000006</v>
      </c>
      <c r="M3" s="42">
        <v>0.23317018072289161</v>
      </c>
      <c r="N3" s="42">
        <v>1.2919176706827309</v>
      </c>
      <c r="O3" s="33">
        <v>30.2</v>
      </c>
      <c r="P3" s="33">
        <v>6.1999999999999993</v>
      </c>
      <c r="Q3" s="33"/>
      <c r="R3" s="42">
        <f t="shared" ref="R3:R34" si="0">$J3*L3*10</f>
        <v>4.93359375</v>
      </c>
      <c r="S3" s="42">
        <f t="shared" ref="S3:S34" si="1">$J3*M3*10</f>
        <v>2.9449393825301207</v>
      </c>
    </row>
    <row r="4" spans="1:19" x14ac:dyDescent="0.2">
      <c r="A4" s="32">
        <v>1</v>
      </c>
      <c r="B4" s="32" t="s">
        <v>116</v>
      </c>
      <c r="C4" s="32"/>
      <c r="D4" s="34">
        <v>1</v>
      </c>
      <c r="E4" s="42">
        <v>1</v>
      </c>
      <c r="F4" s="34">
        <v>1</v>
      </c>
      <c r="G4" s="33" t="s">
        <v>100</v>
      </c>
      <c r="H4" s="33" t="s">
        <v>117</v>
      </c>
      <c r="I4" s="33">
        <v>5</v>
      </c>
      <c r="J4" s="1">
        <v>12.234</v>
      </c>
      <c r="K4" s="19"/>
      <c r="L4" s="9">
        <v>0.27958749999999999</v>
      </c>
      <c r="M4" s="9">
        <v>0.10432125</v>
      </c>
      <c r="N4" s="9">
        <v>0.23018749999999999</v>
      </c>
      <c r="O4" s="8">
        <v>53.4</v>
      </c>
      <c r="P4" s="8">
        <v>29.4</v>
      </c>
      <c r="Q4" s="8"/>
      <c r="R4" s="9">
        <f t="shared" si="0"/>
        <v>34.20473475</v>
      </c>
      <c r="S4" s="9">
        <f t="shared" si="1"/>
        <v>12.762661724999999</v>
      </c>
    </row>
    <row r="5" spans="1:19" x14ac:dyDescent="0.2">
      <c r="A5" s="32">
        <v>2</v>
      </c>
      <c r="B5" s="32" t="s">
        <v>118</v>
      </c>
      <c r="C5" s="32"/>
      <c r="D5" s="34">
        <v>1</v>
      </c>
      <c r="E5" s="42">
        <v>2</v>
      </c>
      <c r="F5" s="34">
        <v>2</v>
      </c>
      <c r="G5" s="33" t="s">
        <v>91</v>
      </c>
      <c r="H5" s="33" t="s">
        <v>117</v>
      </c>
      <c r="I5" s="33">
        <v>9</v>
      </c>
      <c r="J5" s="1">
        <v>7.770999999999999</v>
      </c>
      <c r="K5" s="19"/>
      <c r="L5" s="9">
        <v>0.46881533101045297</v>
      </c>
      <c r="M5" s="9">
        <v>0.25345943255350922</v>
      </c>
      <c r="N5" s="9">
        <v>1.3053758088601295</v>
      </c>
      <c r="O5" s="8">
        <v>48.2</v>
      </c>
      <c r="P5" s="8">
        <v>24.200000000000003</v>
      </c>
      <c r="Q5" s="8"/>
      <c r="R5" s="9">
        <f t="shared" si="0"/>
        <v>36.431639372822296</v>
      </c>
      <c r="S5" s="42">
        <f t="shared" si="1"/>
        <v>19.696332503733199</v>
      </c>
    </row>
    <row r="6" spans="1:19" x14ac:dyDescent="0.2">
      <c r="A6" s="32">
        <v>2</v>
      </c>
      <c r="B6" s="32" t="s">
        <v>116</v>
      </c>
      <c r="C6" s="32"/>
      <c r="D6" s="34">
        <v>1</v>
      </c>
      <c r="E6" s="42">
        <v>2</v>
      </c>
      <c r="F6" s="34">
        <v>2</v>
      </c>
      <c r="G6" s="33" t="s">
        <v>100</v>
      </c>
      <c r="H6" s="33" t="s">
        <v>117</v>
      </c>
      <c r="I6" s="33">
        <v>13</v>
      </c>
      <c r="J6" s="1">
        <v>13.484999999999998</v>
      </c>
      <c r="K6" s="19"/>
      <c r="L6" s="9">
        <v>0.31157292185166752</v>
      </c>
      <c r="M6" s="9">
        <v>0.10388750622200101</v>
      </c>
      <c r="N6" s="9">
        <v>0.17081881533101045</v>
      </c>
      <c r="O6" s="8">
        <v>61</v>
      </c>
      <c r="P6" s="8">
        <v>37</v>
      </c>
      <c r="Q6" s="8"/>
      <c r="R6" s="9">
        <f t="shared" si="0"/>
        <v>42.015608511697351</v>
      </c>
      <c r="S6" s="42">
        <f t="shared" si="1"/>
        <v>14.009230214036833</v>
      </c>
    </row>
    <row r="7" spans="1:19" x14ac:dyDescent="0.2">
      <c r="A7" s="32">
        <v>3</v>
      </c>
      <c r="B7" s="32" t="s">
        <v>139</v>
      </c>
      <c r="C7" s="32"/>
      <c r="D7" s="34">
        <v>1</v>
      </c>
      <c r="E7" s="42">
        <v>3</v>
      </c>
      <c r="F7" s="34">
        <v>3</v>
      </c>
      <c r="G7" s="33" t="s">
        <v>100</v>
      </c>
      <c r="H7" s="33" t="s">
        <v>117</v>
      </c>
      <c r="I7" s="33">
        <v>17</v>
      </c>
      <c r="J7" s="1">
        <v>4.5069999999999997</v>
      </c>
      <c r="K7" s="19"/>
      <c r="L7" s="9">
        <v>0.44863134103465602</v>
      </c>
      <c r="M7" s="9">
        <v>0.25577599196383727</v>
      </c>
      <c r="N7" s="9">
        <v>1.3150426921145153</v>
      </c>
      <c r="O7" s="8">
        <v>130.4</v>
      </c>
      <c r="P7" s="41">
        <v>1.6</v>
      </c>
      <c r="Q7" s="41"/>
      <c r="R7" s="9">
        <f t="shared" si="0"/>
        <v>20.219814540431944</v>
      </c>
      <c r="S7" s="9">
        <f t="shared" si="1"/>
        <v>11.527823957810144</v>
      </c>
    </row>
    <row r="8" spans="1:19" x14ac:dyDescent="0.2">
      <c r="A8" s="32">
        <v>3</v>
      </c>
      <c r="B8" s="32" t="s">
        <v>138</v>
      </c>
      <c r="C8" s="32"/>
      <c r="D8" s="34">
        <v>1</v>
      </c>
      <c r="E8" s="42">
        <v>3</v>
      </c>
      <c r="F8" s="34">
        <v>3</v>
      </c>
      <c r="G8" s="33" t="s">
        <v>91</v>
      </c>
      <c r="H8" s="33" t="s">
        <v>117</v>
      </c>
      <c r="I8" s="33">
        <v>21</v>
      </c>
      <c r="J8" s="1">
        <v>12.668000000000001</v>
      </c>
      <c r="K8" s="19"/>
      <c r="L8" s="9">
        <v>0.25944832750873686</v>
      </c>
      <c r="M8" s="9">
        <v>0.12058786819770344</v>
      </c>
      <c r="N8" s="9">
        <v>0.24011482775836243</v>
      </c>
      <c r="O8" s="8">
        <v>25.6</v>
      </c>
      <c r="P8" s="41">
        <v>106.4</v>
      </c>
      <c r="Q8" s="41"/>
      <c r="R8" s="9">
        <f t="shared" si="0"/>
        <v>32.866914128806791</v>
      </c>
      <c r="S8" s="9">
        <f t="shared" si="1"/>
        <v>15.276071143285073</v>
      </c>
    </row>
    <row r="9" spans="1:19" x14ac:dyDescent="0.2">
      <c r="A9" s="32">
        <v>4</v>
      </c>
      <c r="B9" s="32" t="s">
        <v>120</v>
      </c>
      <c r="C9" s="32"/>
      <c r="D9" s="34">
        <v>1</v>
      </c>
      <c r="E9" s="42">
        <v>4</v>
      </c>
      <c r="F9" s="34">
        <v>4</v>
      </c>
      <c r="G9" s="33" t="s">
        <v>91</v>
      </c>
      <c r="H9" s="33" t="s">
        <v>115</v>
      </c>
      <c r="I9" s="33">
        <v>25</v>
      </c>
      <c r="J9" s="1">
        <v>1.3989999999999991</v>
      </c>
      <c r="K9" s="19"/>
      <c r="L9" s="9">
        <v>0.34722640562249002</v>
      </c>
      <c r="M9" s="9">
        <v>0.20453062248995987</v>
      </c>
      <c r="N9" s="9">
        <v>1.0553589357429718</v>
      </c>
      <c r="O9" s="8">
        <v>31.6</v>
      </c>
      <c r="P9" s="8">
        <v>7.6000000000000014</v>
      </c>
      <c r="Q9" s="8"/>
      <c r="R9" s="9">
        <f t="shared" si="0"/>
        <v>4.8576974146586318</v>
      </c>
      <c r="S9" s="9">
        <f t="shared" si="1"/>
        <v>2.8613834086345369</v>
      </c>
    </row>
    <row r="10" spans="1:19" x14ac:dyDescent="0.2">
      <c r="A10" s="25">
        <v>4</v>
      </c>
      <c r="B10" s="25" t="s">
        <v>116</v>
      </c>
      <c r="C10" s="25"/>
      <c r="D10" s="43">
        <v>1</v>
      </c>
      <c r="E10" s="46">
        <v>4</v>
      </c>
      <c r="F10" s="43">
        <v>4</v>
      </c>
      <c r="G10" s="26" t="s">
        <v>100</v>
      </c>
      <c r="H10" s="26" t="s">
        <v>117</v>
      </c>
      <c r="I10" s="26">
        <v>29</v>
      </c>
      <c r="J10" s="44">
        <v>6.5249999999999986</v>
      </c>
      <c r="K10" s="45"/>
      <c r="L10" s="46">
        <v>0.27379578524836934</v>
      </c>
      <c r="M10" s="46">
        <v>0.11424485699949824</v>
      </c>
      <c r="N10" s="46">
        <v>0.22439789262418464</v>
      </c>
      <c r="O10" s="26">
        <v>58.6</v>
      </c>
      <c r="P10" s="26">
        <v>34.6</v>
      </c>
      <c r="Q10" s="26"/>
      <c r="R10" s="46">
        <f t="shared" si="0"/>
        <v>17.865174987456097</v>
      </c>
      <c r="S10" s="46">
        <f t="shared" si="1"/>
        <v>7.4544769192172584</v>
      </c>
    </row>
    <row r="11" spans="1:19" x14ac:dyDescent="0.2">
      <c r="A11" s="32">
        <v>5</v>
      </c>
      <c r="B11" s="32" t="s">
        <v>121</v>
      </c>
      <c r="C11" s="32"/>
      <c r="D11" s="34">
        <v>1</v>
      </c>
      <c r="E11" s="42">
        <v>5</v>
      </c>
      <c r="F11" s="42">
        <v>5</v>
      </c>
      <c r="G11" s="33" t="s">
        <v>100</v>
      </c>
      <c r="H11" s="33" t="s">
        <v>117</v>
      </c>
      <c r="I11" s="33">
        <v>33</v>
      </c>
      <c r="J11" s="67">
        <v>8.0980000000000008</v>
      </c>
      <c r="K11" s="68"/>
      <c r="L11" s="42">
        <v>0.30246653445711447</v>
      </c>
      <c r="M11" s="42">
        <v>0.1551685671789787</v>
      </c>
      <c r="N11" s="42">
        <v>0.24100148735746157</v>
      </c>
      <c r="O11" s="33">
        <v>24.2</v>
      </c>
      <c r="P11" s="33">
        <v>0.19999999999999929</v>
      </c>
      <c r="Q11" s="33"/>
      <c r="R11" s="42">
        <f t="shared" si="0"/>
        <v>24.493739960337134</v>
      </c>
      <c r="S11" s="9">
        <f t="shared" si="1"/>
        <v>12.565550570153697</v>
      </c>
    </row>
    <row r="12" spans="1:19" x14ac:dyDescent="0.2">
      <c r="A12" s="32">
        <v>5</v>
      </c>
      <c r="B12" s="32" t="s">
        <v>122</v>
      </c>
      <c r="C12" s="32"/>
      <c r="D12" s="34">
        <v>1</v>
      </c>
      <c r="E12" s="42">
        <v>5</v>
      </c>
      <c r="F12" s="34">
        <v>5</v>
      </c>
      <c r="G12" s="33" t="s">
        <v>100</v>
      </c>
      <c r="H12" s="33" t="s">
        <v>117</v>
      </c>
      <c r="I12" s="33">
        <v>37</v>
      </c>
      <c r="J12" s="1">
        <v>8.7969999999999988</v>
      </c>
      <c r="K12" s="19"/>
      <c r="L12" s="9">
        <v>0.35949573507275462</v>
      </c>
      <c r="M12" s="9">
        <v>0.17390868038133467</v>
      </c>
      <c r="N12" s="9">
        <v>0.28710486703462118</v>
      </c>
      <c r="O12" s="8">
        <v>30</v>
      </c>
      <c r="P12" s="8">
        <v>6</v>
      </c>
      <c r="Q12" s="8"/>
      <c r="R12" s="9">
        <f t="shared" si="0"/>
        <v>31.624839814350221</v>
      </c>
      <c r="S12" s="9">
        <f t="shared" si="1"/>
        <v>15.298746613146008</v>
      </c>
    </row>
    <row r="13" spans="1:19" x14ac:dyDescent="0.2">
      <c r="A13" s="32">
        <v>6</v>
      </c>
      <c r="B13" s="32" t="s">
        <v>123</v>
      </c>
      <c r="C13" s="32"/>
      <c r="D13" s="34">
        <v>1</v>
      </c>
      <c r="E13" s="42">
        <v>6</v>
      </c>
      <c r="F13" s="34">
        <v>6</v>
      </c>
      <c r="G13" s="33" t="s">
        <v>91</v>
      </c>
      <c r="H13" s="33" t="s">
        <v>115</v>
      </c>
      <c r="I13" s="33">
        <v>41</v>
      </c>
      <c r="J13" s="1">
        <v>2.6499999999999986</v>
      </c>
      <c r="K13" s="19"/>
      <c r="L13" s="9">
        <v>0.56788749999999988</v>
      </c>
      <c r="M13" s="9">
        <v>0.2339125</v>
      </c>
      <c r="N13" s="9">
        <v>1.365875</v>
      </c>
      <c r="O13" s="8">
        <v>23.6</v>
      </c>
      <c r="P13" s="8">
        <v>-0.39999999999999858</v>
      </c>
      <c r="Q13" s="8"/>
      <c r="R13" s="9">
        <f t="shared" si="0"/>
        <v>15.049018749999989</v>
      </c>
      <c r="S13" s="42">
        <f t="shared" si="1"/>
        <v>6.1986812499999964</v>
      </c>
    </row>
    <row r="14" spans="1:19" x14ac:dyDescent="0.2">
      <c r="A14" s="32">
        <v>6</v>
      </c>
      <c r="B14" s="32" t="s">
        <v>124</v>
      </c>
      <c r="C14" s="32"/>
      <c r="D14" s="34">
        <v>1</v>
      </c>
      <c r="E14" s="42">
        <v>6</v>
      </c>
      <c r="F14" s="34">
        <v>6</v>
      </c>
      <c r="G14" s="33" t="s">
        <v>91</v>
      </c>
      <c r="H14" s="33" t="s">
        <v>115</v>
      </c>
      <c r="I14" s="33">
        <v>45</v>
      </c>
      <c r="J14" s="1">
        <v>2.2719999999999985</v>
      </c>
      <c r="K14" s="19"/>
      <c r="L14" s="9">
        <v>0.55636182902584497</v>
      </c>
      <c r="M14" s="9">
        <v>0.25254721669980124</v>
      </c>
      <c r="N14" s="9">
        <v>1.4268141153081511</v>
      </c>
      <c r="O14" s="8">
        <v>23.2</v>
      </c>
      <c r="P14" s="8">
        <v>-0.80000000000000071</v>
      </c>
      <c r="Q14" s="8"/>
      <c r="R14" s="9">
        <f t="shared" si="0"/>
        <v>12.640540755467189</v>
      </c>
      <c r="S14" s="9">
        <f t="shared" si="1"/>
        <v>5.7378727634194799</v>
      </c>
    </row>
    <row r="15" spans="1:19" x14ac:dyDescent="0.2">
      <c r="A15" s="32">
        <v>7</v>
      </c>
      <c r="B15" s="32" t="s">
        <v>125</v>
      </c>
      <c r="C15" s="32"/>
      <c r="D15" s="34">
        <v>1</v>
      </c>
      <c r="E15" s="42">
        <v>7</v>
      </c>
      <c r="F15" s="34">
        <v>7</v>
      </c>
      <c r="G15" s="33" t="s">
        <v>91</v>
      </c>
      <c r="H15" s="33" t="s">
        <v>117</v>
      </c>
      <c r="I15" s="33">
        <v>49</v>
      </c>
      <c r="J15" s="1">
        <v>7.2490000000000006</v>
      </c>
      <c r="K15" s="19"/>
      <c r="L15" s="9">
        <v>0.57129954841946806</v>
      </c>
      <c r="M15" s="9">
        <v>0.24277471149021571</v>
      </c>
      <c r="N15" s="9">
        <v>1.2382212744606123</v>
      </c>
      <c r="O15" s="8">
        <v>22.8</v>
      </c>
      <c r="P15" s="8">
        <v>-1.1999999999999993</v>
      </c>
      <c r="Q15" s="8"/>
      <c r="R15" s="9">
        <f t="shared" si="0"/>
        <v>41.413504264927241</v>
      </c>
      <c r="S15" s="9">
        <f t="shared" si="1"/>
        <v>17.598738835925737</v>
      </c>
    </row>
    <row r="16" spans="1:19" x14ac:dyDescent="0.2">
      <c r="A16" s="32">
        <v>7</v>
      </c>
      <c r="B16" s="32" t="s">
        <v>126</v>
      </c>
      <c r="C16" s="32"/>
      <c r="D16" s="34">
        <v>1</v>
      </c>
      <c r="E16" s="42">
        <v>7</v>
      </c>
      <c r="F16" s="34">
        <v>7</v>
      </c>
      <c r="G16" s="33" t="s">
        <v>91</v>
      </c>
      <c r="H16" s="33" t="s">
        <v>117</v>
      </c>
      <c r="I16" s="33">
        <v>53</v>
      </c>
      <c r="J16" s="1">
        <v>1.7109999999999985</v>
      </c>
      <c r="K16" s="19"/>
      <c r="L16" s="9">
        <v>0.46993058998512643</v>
      </c>
      <c r="M16" s="9">
        <v>0.23200297471492318</v>
      </c>
      <c r="N16" s="9">
        <v>1.447198810114031</v>
      </c>
      <c r="O16" s="8">
        <v>30.8</v>
      </c>
      <c r="P16" s="8">
        <v>6.8000000000000007</v>
      </c>
      <c r="Q16" s="8"/>
      <c r="R16" s="9">
        <f t="shared" si="0"/>
        <v>8.0405123946455053</v>
      </c>
      <c r="S16" s="42">
        <f t="shared" si="1"/>
        <v>3.969570897372332</v>
      </c>
    </row>
    <row r="17" spans="1:19" ht="15" x14ac:dyDescent="0.25">
      <c r="A17" s="37">
        <v>8</v>
      </c>
      <c r="B17" s="32" t="s">
        <v>127</v>
      </c>
      <c r="C17" s="32"/>
      <c r="D17" s="34">
        <v>2</v>
      </c>
      <c r="E17" s="42">
        <v>1</v>
      </c>
      <c r="F17" s="34">
        <v>1</v>
      </c>
      <c r="G17" s="33" t="s">
        <v>91</v>
      </c>
      <c r="H17" s="33" t="s">
        <v>115</v>
      </c>
      <c r="I17" s="33">
        <v>2</v>
      </c>
      <c r="J17" s="67">
        <v>1.363999999999999</v>
      </c>
      <c r="K17" s="68"/>
      <c r="L17" s="42">
        <v>0.49341775325977932</v>
      </c>
      <c r="M17" s="42">
        <v>0.27666750250752259</v>
      </c>
      <c r="N17" s="42">
        <v>1.3160732196589771</v>
      </c>
      <c r="O17" s="33">
        <v>23</v>
      </c>
      <c r="P17" s="33">
        <v>-1</v>
      </c>
      <c r="Q17" s="33"/>
      <c r="R17" s="42">
        <f t="shared" si="0"/>
        <v>6.730218154463385</v>
      </c>
      <c r="S17" s="9">
        <f t="shared" si="1"/>
        <v>3.7737447342026051</v>
      </c>
    </row>
    <row r="18" spans="1:19" ht="15" x14ac:dyDescent="0.25">
      <c r="A18" s="25">
        <v>8</v>
      </c>
      <c r="B18" s="25" t="s">
        <v>128</v>
      </c>
      <c r="C18" s="25"/>
      <c r="D18" s="43">
        <v>2</v>
      </c>
      <c r="E18" s="46">
        <v>1</v>
      </c>
      <c r="F18" s="43">
        <v>1</v>
      </c>
      <c r="G18" s="26" t="s">
        <v>100</v>
      </c>
      <c r="H18" s="26" t="s">
        <v>117</v>
      </c>
      <c r="I18" s="26">
        <v>6</v>
      </c>
      <c r="J18" s="44">
        <v>5.7439999999999998</v>
      </c>
      <c r="K18" s="45"/>
      <c r="L18" s="46">
        <v>0.36026852312282442</v>
      </c>
      <c r="M18" s="46">
        <v>0.15780706116360022</v>
      </c>
      <c r="N18" s="46">
        <v>0.30597961213326708</v>
      </c>
      <c r="O18" s="26">
        <v>60.4</v>
      </c>
      <c r="P18" s="26">
        <v>36.4</v>
      </c>
      <c r="Q18" s="26"/>
      <c r="R18" s="46">
        <f t="shared" si="0"/>
        <v>20.693823968175032</v>
      </c>
      <c r="S18" s="46">
        <f t="shared" si="1"/>
        <v>9.0644375932371961</v>
      </c>
    </row>
    <row r="19" spans="1:19" ht="15" x14ac:dyDescent="0.25">
      <c r="A19" s="32">
        <v>9</v>
      </c>
      <c r="B19" s="32" t="s">
        <v>129</v>
      </c>
      <c r="C19" s="32"/>
      <c r="D19" s="34">
        <v>2</v>
      </c>
      <c r="E19" s="42">
        <v>2</v>
      </c>
      <c r="F19" s="34">
        <v>2</v>
      </c>
      <c r="G19" s="33" t="s">
        <v>91</v>
      </c>
      <c r="H19" s="33" t="s">
        <v>117</v>
      </c>
      <c r="I19" s="33">
        <v>10</v>
      </c>
      <c r="J19" s="67">
        <v>2.0839999999999996</v>
      </c>
      <c r="K19" s="68"/>
      <c r="L19" s="42">
        <v>0.57483676544450024</v>
      </c>
      <c r="M19" s="42">
        <v>0.24708689100954298</v>
      </c>
      <c r="N19" s="42">
        <v>1.4374686087393269</v>
      </c>
      <c r="O19" s="33">
        <v>25</v>
      </c>
      <c r="P19" s="33">
        <v>1</v>
      </c>
      <c r="Q19" s="33"/>
      <c r="R19" s="42">
        <f t="shared" si="0"/>
        <v>11.979598191863383</v>
      </c>
      <c r="S19" s="9">
        <f t="shared" si="1"/>
        <v>5.1492908086388747</v>
      </c>
    </row>
    <row r="20" spans="1:19" ht="15" x14ac:dyDescent="0.25">
      <c r="A20" s="32">
        <v>9</v>
      </c>
      <c r="B20" s="32" t="s">
        <v>130</v>
      </c>
      <c r="C20" s="32"/>
      <c r="D20" s="34">
        <v>2</v>
      </c>
      <c r="E20" s="42">
        <v>2</v>
      </c>
      <c r="F20" s="34">
        <v>2</v>
      </c>
      <c r="G20" s="33" t="s">
        <v>100</v>
      </c>
      <c r="H20" s="33" t="s">
        <v>117</v>
      </c>
      <c r="I20" s="33">
        <v>14</v>
      </c>
      <c r="J20" s="1">
        <v>9.83</v>
      </c>
      <c r="K20" s="19"/>
      <c r="L20" s="9">
        <v>0.4441720860430215</v>
      </c>
      <c r="M20" s="9">
        <v>0.21284392196098048</v>
      </c>
      <c r="N20" s="9">
        <v>0.29882441220610301</v>
      </c>
      <c r="O20" s="8">
        <v>119.6</v>
      </c>
      <c r="P20" s="8">
        <v>95.6</v>
      </c>
      <c r="Q20" s="8"/>
      <c r="R20" s="9">
        <f t="shared" si="0"/>
        <v>43.662116058029014</v>
      </c>
      <c r="S20" s="9">
        <f t="shared" si="1"/>
        <v>20.922557528764383</v>
      </c>
    </row>
    <row r="21" spans="1:19" ht="15" x14ac:dyDescent="0.25">
      <c r="A21" s="32">
        <v>10</v>
      </c>
      <c r="B21" s="32" t="s">
        <v>131</v>
      </c>
      <c r="C21" s="32"/>
      <c r="D21" s="34">
        <v>2</v>
      </c>
      <c r="E21" s="42">
        <v>3</v>
      </c>
      <c r="F21" s="34">
        <v>3</v>
      </c>
      <c r="G21" s="33" t="s">
        <v>91</v>
      </c>
      <c r="H21" s="33" t="s">
        <v>117</v>
      </c>
      <c r="I21" s="33">
        <v>18</v>
      </c>
      <c r="J21" s="1">
        <v>7.9429999999999996</v>
      </c>
      <c r="K21" s="19"/>
      <c r="L21" s="9">
        <v>0.42966399197592781</v>
      </c>
      <c r="M21" s="9">
        <v>0.24129889669007021</v>
      </c>
      <c r="N21" s="9">
        <v>1.2708124373119358</v>
      </c>
      <c r="O21" s="8">
        <v>24.6</v>
      </c>
      <c r="P21" s="8">
        <v>0.60000000000000142</v>
      </c>
      <c r="Q21" s="8"/>
      <c r="R21" s="9">
        <f t="shared" si="0"/>
        <v>34.128210882647942</v>
      </c>
      <c r="S21" s="9">
        <f t="shared" si="1"/>
        <v>19.166371364092278</v>
      </c>
    </row>
    <row r="22" spans="1:19" ht="15" x14ac:dyDescent="0.25">
      <c r="A22" s="32">
        <v>10</v>
      </c>
      <c r="B22" s="32" t="s">
        <v>132</v>
      </c>
      <c r="C22" s="32"/>
      <c r="D22" s="34">
        <v>2</v>
      </c>
      <c r="E22" s="42">
        <v>3</v>
      </c>
      <c r="F22" s="34">
        <v>3</v>
      </c>
      <c r="G22" s="33" t="s">
        <v>100</v>
      </c>
      <c r="H22" s="33" t="s">
        <v>117</v>
      </c>
      <c r="I22" s="33">
        <v>22</v>
      </c>
      <c r="J22" s="1">
        <v>4.9269999999999996</v>
      </c>
      <c r="K22" s="19"/>
      <c r="L22" s="9">
        <v>0.37441542288557217</v>
      </c>
      <c r="M22" s="9">
        <v>0.20016169154228852</v>
      </c>
      <c r="N22" s="9">
        <v>0.25768656716417915</v>
      </c>
      <c r="O22" s="8">
        <v>25</v>
      </c>
      <c r="P22" s="8">
        <v>1</v>
      </c>
      <c r="Q22" s="8"/>
      <c r="R22" s="9">
        <f t="shared" si="0"/>
        <v>18.447447885572139</v>
      </c>
      <c r="S22" s="9">
        <f t="shared" si="1"/>
        <v>9.8619665422885543</v>
      </c>
    </row>
    <row r="23" spans="1:19" x14ac:dyDescent="0.2">
      <c r="A23" s="32">
        <v>11</v>
      </c>
      <c r="B23" s="32" t="s">
        <v>120</v>
      </c>
      <c r="C23" s="32"/>
      <c r="D23" s="34">
        <v>2</v>
      </c>
      <c r="E23" s="42">
        <v>4</v>
      </c>
      <c r="F23" s="34">
        <v>4</v>
      </c>
      <c r="G23" s="33" t="s">
        <v>91</v>
      </c>
      <c r="H23" s="33" t="s">
        <v>115</v>
      </c>
      <c r="I23" s="33">
        <v>26</v>
      </c>
      <c r="J23" s="1">
        <v>2.6719999999999988</v>
      </c>
      <c r="K23" s="19"/>
      <c r="L23" s="9">
        <v>0.52421013039117359</v>
      </c>
      <c r="M23" s="9">
        <v>0.28302407221664999</v>
      </c>
      <c r="N23" s="9">
        <v>1.3561935807422267</v>
      </c>
      <c r="O23" s="8">
        <v>20.6</v>
      </c>
      <c r="P23" s="8">
        <v>-3.3999999999999986</v>
      </c>
      <c r="Q23" s="8"/>
      <c r="R23" s="9">
        <f t="shared" si="0"/>
        <v>14.006894684052151</v>
      </c>
      <c r="S23" s="42">
        <f t="shared" si="1"/>
        <v>7.5624032096288838</v>
      </c>
    </row>
    <row r="24" spans="1:19" x14ac:dyDescent="0.2">
      <c r="A24" s="32">
        <v>11</v>
      </c>
      <c r="B24" s="32" t="s">
        <v>116</v>
      </c>
      <c r="C24" s="32"/>
      <c r="D24" s="34">
        <v>2</v>
      </c>
      <c r="E24" s="42">
        <v>4</v>
      </c>
      <c r="F24" s="34">
        <v>4</v>
      </c>
      <c r="G24" s="33" t="s">
        <v>100</v>
      </c>
      <c r="H24" s="33" t="s">
        <v>117</v>
      </c>
      <c r="I24" s="33">
        <v>30</v>
      </c>
      <c r="J24" s="67">
        <v>8.6650000000000009</v>
      </c>
      <c r="K24" s="68"/>
      <c r="L24" s="42">
        <v>0.43052932405566607</v>
      </c>
      <c r="M24" s="42">
        <v>0.20055914512922465</v>
      </c>
      <c r="N24" s="42">
        <v>0.31235089463220678</v>
      </c>
      <c r="O24" s="33">
        <v>50</v>
      </c>
      <c r="P24" s="33">
        <v>26</v>
      </c>
      <c r="Q24" s="33"/>
      <c r="R24" s="42">
        <f t="shared" si="0"/>
        <v>37.305365929423473</v>
      </c>
      <c r="S24" s="9">
        <f t="shared" si="1"/>
        <v>17.37844992544732</v>
      </c>
    </row>
    <row r="25" spans="1:19" x14ac:dyDescent="0.2">
      <c r="A25" s="32">
        <v>12</v>
      </c>
      <c r="B25" s="32" t="s">
        <v>121</v>
      </c>
      <c r="C25" s="32"/>
      <c r="D25" s="34">
        <v>2</v>
      </c>
      <c r="E25" s="42">
        <v>5</v>
      </c>
      <c r="F25" s="34">
        <v>5</v>
      </c>
      <c r="G25" s="33" t="s">
        <v>100</v>
      </c>
      <c r="H25" s="33" t="s">
        <v>117</v>
      </c>
      <c r="I25" s="33">
        <v>34</v>
      </c>
      <c r="J25" s="1">
        <v>5.9789999999999992</v>
      </c>
      <c r="K25" s="19"/>
      <c r="L25" s="9">
        <v>0.30947671507260893</v>
      </c>
      <c r="M25" s="9">
        <v>0.15474461692538813</v>
      </c>
      <c r="N25" s="9">
        <v>0.25441912869303956</v>
      </c>
      <c r="O25" s="8">
        <v>53.2</v>
      </c>
      <c r="P25" s="8">
        <v>29.200000000000003</v>
      </c>
      <c r="Q25" s="8"/>
      <c r="R25" s="9">
        <f t="shared" si="0"/>
        <v>18.503612794191287</v>
      </c>
      <c r="S25" s="9">
        <f t="shared" si="1"/>
        <v>9.2521806459689557</v>
      </c>
    </row>
    <row r="26" spans="1:19" x14ac:dyDescent="0.2">
      <c r="A26" s="25">
        <v>12</v>
      </c>
      <c r="B26" s="25" t="s">
        <v>122</v>
      </c>
      <c r="C26" s="25"/>
      <c r="D26" s="43">
        <v>2</v>
      </c>
      <c r="E26" s="46">
        <v>5</v>
      </c>
      <c r="F26" s="43">
        <v>5</v>
      </c>
      <c r="G26" s="26" t="s">
        <v>100</v>
      </c>
      <c r="H26" s="26" t="s">
        <v>117</v>
      </c>
      <c r="I26" s="26">
        <v>38</v>
      </c>
      <c r="J26" s="44">
        <v>9.118999999999998</v>
      </c>
      <c r="K26" s="45"/>
      <c r="L26" s="46">
        <v>0.36999246987951817</v>
      </c>
      <c r="M26" s="46">
        <v>0.17697038152610445</v>
      </c>
      <c r="N26" s="46">
        <v>0.23271837349397592</v>
      </c>
      <c r="O26" s="26">
        <v>95.6</v>
      </c>
      <c r="P26" s="26">
        <v>71.599999999999994</v>
      </c>
      <c r="Q26" s="26"/>
      <c r="R26" s="46">
        <f t="shared" si="0"/>
        <v>33.739613328313254</v>
      </c>
      <c r="S26" s="46">
        <f t="shared" si="1"/>
        <v>16.137929091365461</v>
      </c>
    </row>
    <row r="27" spans="1:19" x14ac:dyDescent="0.2">
      <c r="A27" s="32">
        <v>13</v>
      </c>
      <c r="B27" s="32" t="s">
        <v>123</v>
      </c>
      <c r="C27" s="32"/>
      <c r="D27" s="34">
        <v>2</v>
      </c>
      <c r="E27" s="42">
        <v>6</v>
      </c>
      <c r="F27" s="34">
        <v>6</v>
      </c>
      <c r="G27" s="33" t="s">
        <v>91</v>
      </c>
      <c r="H27" s="33" t="s">
        <v>115</v>
      </c>
      <c r="I27" s="33">
        <v>42</v>
      </c>
      <c r="J27" s="67">
        <v>2.3969999999999985</v>
      </c>
      <c r="K27" s="68"/>
      <c r="L27" s="42">
        <v>0.56155589123867067</v>
      </c>
      <c r="M27" s="42">
        <v>0.25305891238670697</v>
      </c>
      <c r="N27" s="42">
        <v>1.3703423967774422</v>
      </c>
      <c r="O27" s="33">
        <v>23.2</v>
      </c>
      <c r="P27" s="33">
        <v>-0.80000000000000071</v>
      </c>
      <c r="Q27" s="33"/>
      <c r="R27" s="42">
        <f t="shared" si="0"/>
        <v>13.460494712990927</v>
      </c>
      <c r="S27" s="9">
        <f t="shared" si="1"/>
        <v>6.0658221299093622</v>
      </c>
    </row>
    <row r="28" spans="1:19" x14ac:dyDescent="0.2">
      <c r="A28" s="32">
        <v>13</v>
      </c>
      <c r="B28" s="32" t="s">
        <v>124</v>
      </c>
      <c r="C28" s="32"/>
      <c r="D28" s="34">
        <v>2</v>
      </c>
      <c r="E28" s="42">
        <v>6</v>
      </c>
      <c r="F28" s="34">
        <v>6</v>
      </c>
      <c r="G28" s="33" t="s">
        <v>91</v>
      </c>
      <c r="H28" s="33" t="s">
        <v>115</v>
      </c>
      <c r="I28" s="33">
        <v>46</v>
      </c>
      <c r="J28" s="1">
        <v>1.3780000000000001</v>
      </c>
      <c r="K28" s="19"/>
      <c r="L28" s="9">
        <v>0.44039710289710293</v>
      </c>
      <c r="M28" s="9">
        <v>0.26106393606393608</v>
      </c>
      <c r="N28" s="9">
        <v>1.3919830169830172</v>
      </c>
      <c r="O28" s="8">
        <v>29.2</v>
      </c>
      <c r="P28" s="8">
        <v>5.1999999999999993</v>
      </c>
      <c r="Q28" s="8"/>
      <c r="R28" s="9">
        <f t="shared" si="0"/>
        <v>6.0686720779220789</v>
      </c>
      <c r="S28" s="42">
        <f t="shared" si="1"/>
        <v>3.5974610389610397</v>
      </c>
    </row>
    <row r="29" spans="1:19" x14ac:dyDescent="0.2">
      <c r="A29" s="32">
        <v>14</v>
      </c>
      <c r="B29" s="32" t="s">
        <v>125</v>
      </c>
      <c r="C29" s="32"/>
      <c r="D29" s="34">
        <v>2</v>
      </c>
      <c r="E29" s="42">
        <v>7</v>
      </c>
      <c r="F29" s="34">
        <v>7</v>
      </c>
      <c r="G29" s="33" t="s">
        <v>91</v>
      </c>
      <c r="H29" s="33" t="s">
        <v>117</v>
      </c>
      <c r="I29" s="33">
        <v>50</v>
      </c>
      <c r="J29" s="1">
        <v>2.3629999999999995</v>
      </c>
      <c r="K29" s="19"/>
      <c r="L29" s="40">
        <v>5.5630574826560961E-2</v>
      </c>
      <c r="M29" s="40">
        <v>3.1173191278493561E-2</v>
      </c>
      <c r="N29" s="40">
        <v>0.16023290386521311</v>
      </c>
      <c r="O29" s="8">
        <v>23.4</v>
      </c>
      <c r="P29" s="8">
        <v>-0.60000000000000142</v>
      </c>
      <c r="Q29" s="8"/>
      <c r="R29" s="9">
        <f t="shared" si="0"/>
        <v>1.3145504831516353</v>
      </c>
      <c r="S29" s="9">
        <f t="shared" si="1"/>
        <v>0.73662250991080269</v>
      </c>
    </row>
    <row r="30" spans="1:19" x14ac:dyDescent="0.2">
      <c r="A30" s="32">
        <v>14</v>
      </c>
      <c r="B30" s="32" t="s">
        <v>126</v>
      </c>
      <c r="C30" s="32"/>
      <c r="D30" s="34">
        <v>3</v>
      </c>
      <c r="E30" s="42">
        <v>7</v>
      </c>
      <c r="F30" s="34">
        <v>7</v>
      </c>
      <c r="G30" s="33" t="s">
        <v>91</v>
      </c>
      <c r="H30" s="33" t="s">
        <v>117</v>
      </c>
      <c r="I30" s="33">
        <v>54</v>
      </c>
      <c r="J30" s="1">
        <v>4.3349999999999991</v>
      </c>
      <c r="K30" s="19"/>
      <c r="L30" s="9">
        <v>0.60924348697394803</v>
      </c>
      <c r="M30" s="9">
        <v>0.29584168336673344</v>
      </c>
      <c r="N30" s="9">
        <v>1.531938877755511</v>
      </c>
      <c r="O30" s="8">
        <v>21.2</v>
      </c>
      <c r="P30" s="8">
        <v>-2.8000000000000007</v>
      </c>
      <c r="Q30" s="8"/>
      <c r="R30" s="9">
        <f t="shared" si="0"/>
        <v>26.410705160320642</v>
      </c>
      <c r="S30" s="42">
        <f t="shared" si="1"/>
        <v>12.824736973947893</v>
      </c>
    </row>
    <row r="31" spans="1:19" x14ac:dyDescent="0.2">
      <c r="A31" s="32">
        <v>15</v>
      </c>
      <c r="B31" s="32" t="s">
        <v>114</v>
      </c>
      <c r="C31" s="32"/>
      <c r="D31" s="34">
        <v>3</v>
      </c>
      <c r="E31" s="42">
        <v>1</v>
      </c>
      <c r="F31" s="34">
        <v>1</v>
      </c>
      <c r="G31" s="33" t="s">
        <v>91</v>
      </c>
      <c r="H31" s="33" t="s">
        <v>115</v>
      </c>
      <c r="I31" s="33">
        <v>3</v>
      </c>
      <c r="J31" s="1">
        <v>4.2009999999999987</v>
      </c>
      <c r="K31" s="19"/>
      <c r="L31" s="9">
        <v>0.48637048192771082</v>
      </c>
      <c r="M31" s="9">
        <v>0.25834588353413657</v>
      </c>
      <c r="N31" s="9">
        <v>1.3226656626506024</v>
      </c>
      <c r="O31" s="8">
        <v>54.6</v>
      </c>
      <c r="P31" s="8">
        <v>30.6</v>
      </c>
      <c r="Q31" s="8"/>
      <c r="R31" s="9">
        <f t="shared" si="0"/>
        <v>20.432423945783125</v>
      </c>
      <c r="S31" s="9">
        <f t="shared" si="1"/>
        <v>10.853110567269074</v>
      </c>
    </row>
    <row r="32" spans="1:19" x14ac:dyDescent="0.2">
      <c r="A32" s="32">
        <v>15</v>
      </c>
      <c r="B32" s="32" t="s">
        <v>116</v>
      </c>
      <c r="C32" s="32"/>
      <c r="D32" s="34">
        <v>3</v>
      </c>
      <c r="E32" s="42">
        <v>1</v>
      </c>
      <c r="F32" s="34">
        <v>1</v>
      </c>
      <c r="G32" s="33" t="s">
        <v>100</v>
      </c>
      <c r="H32" s="33" t="s">
        <v>117</v>
      </c>
      <c r="I32" s="33">
        <v>7</v>
      </c>
      <c r="J32" s="1">
        <v>8.1979999999999986</v>
      </c>
      <c r="K32" s="19"/>
      <c r="L32" s="9">
        <v>0.31917293233082705</v>
      </c>
      <c r="M32" s="9">
        <v>0.1212531328320802</v>
      </c>
      <c r="N32" s="9">
        <v>0.24126566416040099</v>
      </c>
      <c r="O32" s="8">
        <v>44.6</v>
      </c>
      <c r="P32" s="8">
        <v>20.6</v>
      </c>
      <c r="Q32" s="8"/>
      <c r="R32" s="9">
        <f t="shared" si="0"/>
        <v>26.165796992481198</v>
      </c>
      <c r="S32" s="9">
        <f t="shared" si="1"/>
        <v>9.9403318295739336</v>
      </c>
    </row>
    <row r="33" spans="1:19" x14ac:dyDescent="0.2">
      <c r="A33" s="32">
        <v>16</v>
      </c>
      <c r="B33" s="32" t="s">
        <v>118</v>
      </c>
      <c r="C33" s="32"/>
      <c r="D33" s="34">
        <v>3</v>
      </c>
      <c r="E33" s="42">
        <v>2</v>
      </c>
      <c r="F33" s="34">
        <v>2</v>
      </c>
      <c r="G33" s="33" t="s">
        <v>91</v>
      </c>
      <c r="H33" s="33" t="s">
        <v>117</v>
      </c>
      <c r="I33" s="33">
        <v>11</v>
      </c>
      <c r="J33" s="1">
        <v>6.8079999999999998</v>
      </c>
      <c r="K33" s="19"/>
      <c r="L33" s="9">
        <v>0.45317817817817824</v>
      </c>
      <c r="M33" s="9">
        <v>0.21692942942942942</v>
      </c>
      <c r="N33" s="9">
        <v>1.2655155155155156</v>
      </c>
      <c r="O33" s="8">
        <v>25.4</v>
      </c>
      <c r="P33" s="8">
        <v>1.3999999999999986</v>
      </c>
      <c r="Q33" s="8"/>
      <c r="R33" s="9">
        <f t="shared" si="0"/>
        <v>30.852370370370373</v>
      </c>
      <c r="S33" s="9">
        <f t="shared" si="1"/>
        <v>14.768555555555555</v>
      </c>
    </row>
    <row r="34" spans="1:19" x14ac:dyDescent="0.2">
      <c r="A34" s="25">
        <v>16</v>
      </c>
      <c r="B34" s="25" t="s">
        <v>116</v>
      </c>
      <c r="C34" s="25"/>
      <c r="D34" s="43">
        <v>3</v>
      </c>
      <c r="E34" s="46">
        <v>2</v>
      </c>
      <c r="F34" s="43">
        <v>2</v>
      </c>
      <c r="G34" s="26" t="s">
        <v>100</v>
      </c>
      <c r="H34" s="26" t="s">
        <v>117</v>
      </c>
      <c r="I34" s="26">
        <v>15</v>
      </c>
      <c r="J34" s="44">
        <v>9.5009999999999994</v>
      </c>
      <c r="K34" s="45"/>
      <c r="L34" s="46">
        <v>0.29137931034482756</v>
      </c>
      <c r="M34" s="46">
        <v>0.14602698650674664</v>
      </c>
      <c r="N34" s="46">
        <v>0.26108195902048975</v>
      </c>
      <c r="O34" s="26">
        <v>44.6</v>
      </c>
      <c r="P34" s="26">
        <v>20.6</v>
      </c>
      <c r="Q34" s="26"/>
      <c r="R34" s="46">
        <f t="shared" si="0"/>
        <v>27.683948275862065</v>
      </c>
      <c r="S34" s="46">
        <f t="shared" si="1"/>
        <v>13.874023988005996</v>
      </c>
    </row>
    <row r="35" spans="1:19" x14ac:dyDescent="0.2">
      <c r="A35" s="32">
        <v>17</v>
      </c>
      <c r="B35" s="32" t="s">
        <v>119</v>
      </c>
      <c r="C35" s="32"/>
      <c r="D35" s="34">
        <v>3</v>
      </c>
      <c r="E35" s="42">
        <v>3</v>
      </c>
      <c r="F35" s="34">
        <v>3</v>
      </c>
      <c r="G35" s="33" t="s">
        <v>91</v>
      </c>
      <c r="H35" s="33" t="s">
        <v>117</v>
      </c>
      <c r="I35" s="33">
        <v>19</v>
      </c>
      <c r="J35" s="67">
        <v>4.0649999999999995</v>
      </c>
      <c r="K35" s="68"/>
      <c r="L35" s="42">
        <v>0.3940084703537618</v>
      </c>
      <c r="M35" s="42">
        <v>0.22653213751868462</v>
      </c>
      <c r="N35" s="42">
        <v>1.2416915794718486</v>
      </c>
      <c r="O35" s="33">
        <v>27.8</v>
      </c>
      <c r="P35" s="33">
        <v>3.8000000000000007</v>
      </c>
      <c r="Q35" s="33"/>
      <c r="R35" s="42">
        <f t="shared" ref="R35:R58" si="2">$J35*L35*10</f>
        <v>16.016444319880414</v>
      </c>
      <c r="S35" s="42">
        <f t="shared" ref="S35:S58" si="3">$J35*M35*10</f>
        <v>9.208531390134528</v>
      </c>
    </row>
    <row r="36" spans="1:19" x14ac:dyDescent="0.2">
      <c r="A36" s="32">
        <v>17</v>
      </c>
      <c r="B36" s="32" t="s">
        <v>116</v>
      </c>
      <c r="C36" s="32"/>
      <c r="D36" s="34">
        <v>3</v>
      </c>
      <c r="E36" s="42">
        <v>3</v>
      </c>
      <c r="F36" s="34">
        <v>3</v>
      </c>
      <c r="G36" s="33" t="s">
        <v>100</v>
      </c>
      <c r="H36" s="33" t="s">
        <v>117</v>
      </c>
      <c r="I36" s="33">
        <v>23</v>
      </c>
      <c r="J36" s="1">
        <v>5.3650000000000002</v>
      </c>
      <c r="K36" s="19"/>
      <c r="L36" s="9">
        <v>0.29397710303633651</v>
      </c>
      <c r="M36" s="9">
        <v>0.16061473369835738</v>
      </c>
      <c r="N36" s="9">
        <v>0.23006470881035343</v>
      </c>
      <c r="O36" s="8">
        <v>20</v>
      </c>
      <c r="P36" s="8">
        <v>-4</v>
      </c>
      <c r="Q36" s="8"/>
      <c r="R36" s="9">
        <f t="shared" si="2"/>
        <v>15.771871577899454</v>
      </c>
      <c r="S36" s="9">
        <f t="shared" si="3"/>
        <v>8.6169804629168727</v>
      </c>
    </row>
    <row r="37" spans="1:19" x14ac:dyDescent="0.2">
      <c r="A37" s="32">
        <v>18</v>
      </c>
      <c r="B37" s="32" t="s">
        <v>120</v>
      </c>
      <c r="C37" s="32"/>
      <c r="D37" s="34">
        <v>3</v>
      </c>
      <c r="E37" s="42">
        <v>4</v>
      </c>
      <c r="F37" s="34">
        <v>4</v>
      </c>
      <c r="G37" s="33" t="s">
        <v>91</v>
      </c>
      <c r="H37" s="33" t="s">
        <v>115</v>
      </c>
      <c r="I37" s="33">
        <v>27</v>
      </c>
      <c r="J37" s="1">
        <v>5.4159999999999986</v>
      </c>
      <c r="K37" s="19"/>
      <c r="L37" s="9">
        <v>0.52481343283582083</v>
      </c>
      <c r="M37" s="9">
        <v>0.26405472636815919</v>
      </c>
      <c r="N37" s="9">
        <v>1.3064676616915423</v>
      </c>
      <c r="O37" s="8">
        <v>30.4</v>
      </c>
      <c r="P37" s="8">
        <v>6.3999999999999986</v>
      </c>
      <c r="Q37" s="8"/>
      <c r="R37" s="9">
        <f t="shared" si="2"/>
        <v>28.423895522388047</v>
      </c>
      <c r="S37" s="9">
        <f t="shared" si="3"/>
        <v>14.301203980099498</v>
      </c>
    </row>
    <row r="38" spans="1:19" x14ac:dyDescent="0.2">
      <c r="A38" s="32">
        <v>18</v>
      </c>
      <c r="B38" s="32" t="s">
        <v>116</v>
      </c>
      <c r="C38" s="32"/>
      <c r="D38" s="34">
        <v>3</v>
      </c>
      <c r="E38" s="42">
        <v>4</v>
      </c>
      <c r="F38" s="34">
        <v>4</v>
      </c>
      <c r="G38" s="33" t="s">
        <v>100</v>
      </c>
      <c r="H38" s="33" t="s">
        <v>117</v>
      </c>
      <c r="I38" s="33">
        <v>31</v>
      </c>
      <c r="J38" s="1">
        <v>5.1499999999999986</v>
      </c>
      <c r="K38" s="19"/>
      <c r="L38" s="9">
        <v>0.28967581047381541</v>
      </c>
      <c r="M38" s="9">
        <v>0.1240648379052369</v>
      </c>
      <c r="N38" s="9">
        <v>0.25250623441396508</v>
      </c>
      <c r="O38" s="8">
        <v>29.4</v>
      </c>
      <c r="P38" s="8">
        <v>5.3999999999999986</v>
      </c>
      <c r="Q38" s="8"/>
      <c r="R38" s="9">
        <f t="shared" si="2"/>
        <v>14.91830423940149</v>
      </c>
      <c r="S38" s="42">
        <f t="shared" si="3"/>
        <v>6.3893391521196987</v>
      </c>
    </row>
    <row r="39" spans="1:19" x14ac:dyDescent="0.2">
      <c r="A39" s="32">
        <v>19</v>
      </c>
      <c r="B39" s="32" t="s">
        <v>121</v>
      </c>
      <c r="C39" s="32"/>
      <c r="D39" s="34">
        <v>3</v>
      </c>
      <c r="E39" s="42">
        <v>5</v>
      </c>
      <c r="F39" s="34">
        <v>5</v>
      </c>
      <c r="G39" s="33" t="s">
        <v>100</v>
      </c>
      <c r="H39" s="33" t="s">
        <v>117</v>
      </c>
      <c r="I39" s="33">
        <v>35</v>
      </c>
      <c r="J39" s="1">
        <v>2.5749999999999993</v>
      </c>
      <c r="K39" s="19"/>
      <c r="L39" s="9">
        <v>0.25822895791583167</v>
      </c>
      <c r="M39" s="9">
        <v>0.14160821643286572</v>
      </c>
      <c r="N39" s="9">
        <v>0.28019789579158316</v>
      </c>
      <c r="O39" s="8">
        <v>36.4</v>
      </c>
      <c r="P39" s="8">
        <v>12.399999999999999</v>
      </c>
      <c r="Q39" s="8"/>
      <c r="R39" s="9">
        <f t="shared" si="2"/>
        <v>6.6493956663326639</v>
      </c>
      <c r="S39" s="9">
        <f t="shared" si="3"/>
        <v>3.6464115731462914</v>
      </c>
    </row>
    <row r="40" spans="1:19" x14ac:dyDescent="0.2">
      <c r="A40" s="32">
        <v>19</v>
      </c>
      <c r="B40" s="32" t="s">
        <v>122</v>
      </c>
      <c r="C40" s="32"/>
      <c r="D40" s="34">
        <v>3</v>
      </c>
      <c r="E40" s="42">
        <v>5</v>
      </c>
      <c r="F40" s="34">
        <v>5</v>
      </c>
      <c r="G40" s="33" t="s">
        <v>100</v>
      </c>
      <c r="H40" s="33" t="s">
        <v>117</v>
      </c>
      <c r="I40" s="33">
        <v>39</v>
      </c>
      <c r="J40" s="1">
        <v>4.5849999999999991</v>
      </c>
      <c r="K40" s="19"/>
      <c r="L40" s="9">
        <v>0.30883300297324079</v>
      </c>
      <c r="M40" s="9">
        <v>0.15486868186323091</v>
      </c>
      <c r="N40" s="9">
        <v>0.29261645193260649</v>
      </c>
      <c r="O40" s="8">
        <v>21.6</v>
      </c>
      <c r="P40" s="8">
        <v>-2.3999999999999986</v>
      </c>
      <c r="Q40" s="8"/>
      <c r="R40" s="9">
        <f t="shared" si="2"/>
        <v>14.159993186323089</v>
      </c>
      <c r="S40" s="9">
        <f t="shared" si="3"/>
        <v>7.1007290634291351</v>
      </c>
    </row>
    <row r="41" spans="1:19" x14ac:dyDescent="0.2">
      <c r="A41" s="32">
        <v>20</v>
      </c>
      <c r="B41" s="32" t="s">
        <v>123</v>
      </c>
      <c r="C41" s="32"/>
      <c r="D41" s="34">
        <v>3</v>
      </c>
      <c r="E41" s="42">
        <v>6</v>
      </c>
      <c r="F41" s="34">
        <v>6</v>
      </c>
      <c r="G41" s="33" t="s">
        <v>91</v>
      </c>
      <c r="H41" s="33" t="s">
        <v>115</v>
      </c>
      <c r="I41" s="33">
        <v>43</v>
      </c>
      <c r="J41" s="1">
        <v>2.8729999999999993</v>
      </c>
      <c r="K41" s="19"/>
      <c r="L41" s="9">
        <v>0.60869565217391297</v>
      </c>
      <c r="M41" s="9">
        <v>0.27012743628185909</v>
      </c>
      <c r="N41" s="9">
        <v>1.4176661669165418</v>
      </c>
      <c r="O41" s="8">
        <v>22.6</v>
      </c>
      <c r="P41" s="8">
        <v>-1.3999999999999986</v>
      </c>
      <c r="Q41" s="8"/>
      <c r="R41" s="9">
        <f t="shared" si="2"/>
        <v>17.487826086956517</v>
      </c>
      <c r="S41" s="9">
        <f t="shared" si="3"/>
        <v>7.7607612443778091</v>
      </c>
    </row>
    <row r="42" spans="1:19" x14ac:dyDescent="0.2">
      <c r="A42" s="32">
        <v>20</v>
      </c>
      <c r="B42" s="32" t="s">
        <v>124</v>
      </c>
      <c r="C42" s="32"/>
      <c r="D42" s="34">
        <v>3</v>
      </c>
      <c r="E42" s="42">
        <v>6</v>
      </c>
      <c r="F42" s="34">
        <v>6</v>
      </c>
      <c r="G42" s="33" t="s">
        <v>91</v>
      </c>
      <c r="H42" s="33" t="s">
        <v>115</v>
      </c>
      <c r="I42" s="33">
        <v>47</v>
      </c>
      <c r="J42" s="67">
        <v>2.9559999999999995</v>
      </c>
      <c r="K42" s="68"/>
      <c r="L42" s="42">
        <v>0.50417500000000004</v>
      </c>
      <c r="M42" s="42">
        <v>0.2409125</v>
      </c>
      <c r="N42" s="42">
        <v>1.348125</v>
      </c>
      <c r="O42" s="33">
        <v>27.2</v>
      </c>
      <c r="P42" s="33">
        <v>3.1999999999999993</v>
      </c>
      <c r="Q42" s="33"/>
      <c r="R42" s="42">
        <f t="shared" si="2"/>
        <v>14.903412999999999</v>
      </c>
      <c r="S42" s="42">
        <f t="shared" si="3"/>
        <v>7.1213734999999989</v>
      </c>
    </row>
    <row r="43" spans="1:19" x14ac:dyDescent="0.2">
      <c r="A43" s="32">
        <v>21</v>
      </c>
      <c r="B43" s="32" t="s">
        <v>125</v>
      </c>
      <c r="C43" s="32"/>
      <c r="D43" s="34">
        <v>3</v>
      </c>
      <c r="E43" s="42">
        <v>7</v>
      </c>
      <c r="F43" s="34">
        <v>7</v>
      </c>
      <c r="G43" s="33" t="s">
        <v>91</v>
      </c>
      <c r="H43" s="33" t="s">
        <v>117</v>
      </c>
      <c r="I43" s="33">
        <v>51</v>
      </c>
      <c r="J43" s="1">
        <v>5.5519999999999996</v>
      </c>
      <c r="K43" s="19"/>
      <c r="L43" s="9">
        <v>0.51892963330029729</v>
      </c>
      <c r="M43" s="9">
        <v>0.24578790882061444</v>
      </c>
      <c r="N43" s="9">
        <v>1.6326808721506441</v>
      </c>
      <c r="O43" s="8">
        <v>28.8</v>
      </c>
      <c r="P43" s="8">
        <v>4.8000000000000007</v>
      </c>
      <c r="Q43" s="8"/>
      <c r="R43" s="9">
        <f t="shared" si="2"/>
        <v>28.810973240832503</v>
      </c>
      <c r="S43" s="9">
        <f t="shared" si="3"/>
        <v>13.646144697720512</v>
      </c>
    </row>
    <row r="44" spans="1:19" x14ac:dyDescent="0.2">
      <c r="A44" s="32">
        <v>21</v>
      </c>
      <c r="B44" s="32" t="s">
        <v>126</v>
      </c>
      <c r="C44" s="32"/>
      <c r="D44" s="34">
        <v>3</v>
      </c>
      <c r="E44" s="42">
        <v>7</v>
      </c>
      <c r="F44" s="34">
        <v>7</v>
      </c>
      <c r="G44" s="33" t="s">
        <v>91</v>
      </c>
      <c r="H44" s="33" t="s">
        <v>117</v>
      </c>
      <c r="I44" s="33">
        <v>55</v>
      </c>
      <c r="J44" s="1">
        <v>3.3170000000000002</v>
      </c>
      <c r="K44" s="19"/>
      <c r="L44" s="9">
        <v>0.48511278195488722</v>
      </c>
      <c r="M44" s="9">
        <v>0.22567669172932334</v>
      </c>
      <c r="N44" s="9">
        <v>1.1027067669172932</v>
      </c>
      <c r="O44" s="8">
        <v>24.2</v>
      </c>
      <c r="P44" s="8">
        <v>0.19999999999999929</v>
      </c>
      <c r="Q44" s="8"/>
      <c r="R44" s="9">
        <f t="shared" si="2"/>
        <v>16.09119097744361</v>
      </c>
      <c r="S44" s="9">
        <f t="shared" si="3"/>
        <v>7.4856958646616558</v>
      </c>
    </row>
    <row r="45" spans="1:19" x14ac:dyDescent="0.2">
      <c r="A45" s="32">
        <v>22</v>
      </c>
      <c r="B45" s="32" t="s">
        <v>114</v>
      </c>
      <c r="C45" s="32"/>
      <c r="D45" s="34">
        <v>4</v>
      </c>
      <c r="E45" s="42">
        <v>1</v>
      </c>
      <c r="F45" s="34">
        <v>1</v>
      </c>
      <c r="G45" s="33" t="s">
        <v>91</v>
      </c>
      <c r="H45" s="33" t="s">
        <v>115</v>
      </c>
      <c r="I45" s="33">
        <v>4</v>
      </c>
      <c r="J45" s="1">
        <v>2.7639999999999993</v>
      </c>
      <c r="K45" s="19">
        <f t="shared" ref="K45:K58" si="4">AVERAGE(J42:J45)</f>
        <v>3.6472499999999997</v>
      </c>
      <c r="L45" s="9">
        <v>0.48023080782739591</v>
      </c>
      <c r="M45" s="9">
        <v>0.24553437029603614</v>
      </c>
      <c r="N45" s="9">
        <v>1.2518314099347718</v>
      </c>
      <c r="O45" s="8">
        <v>21.2</v>
      </c>
      <c r="P45" s="8">
        <v>-2.8000000000000007</v>
      </c>
      <c r="Q45" s="19">
        <f t="shared" ref="Q45:Q56" si="5">AVERAGE(P42:P45)</f>
        <v>1.3499999999999996</v>
      </c>
      <c r="R45" s="9">
        <f t="shared" si="2"/>
        <v>13.27357952834922</v>
      </c>
      <c r="S45" s="42">
        <f t="shared" si="3"/>
        <v>6.7865699949824378</v>
      </c>
    </row>
    <row r="46" spans="1:19" x14ac:dyDescent="0.2">
      <c r="A46" s="32">
        <v>22</v>
      </c>
      <c r="B46" s="32" t="s">
        <v>116</v>
      </c>
      <c r="C46" s="32"/>
      <c r="D46" s="34">
        <v>4</v>
      </c>
      <c r="E46" s="42">
        <v>1</v>
      </c>
      <c r="F46" s="34">
        <v>1</v>
      </c>
      <c r="G46" s="33" t="s">
        <v>100</v>
      </c>
      <c r="H46" s="33" t="s">
        <v>117</v>
      </c>
      <c r="I46" s="33">
        <v>8</v>
      </c>
      <c r="J46" s="67">
        <v>7.2170000000000005</v>
      </c>
      <c r="K46" s="68">
        <f t="shared" si="4"/>
        <v>4.7125000000000004</v>
      </c>
      <c r="L46" s="42">
        <v>0.39442499999999997</v>
      </c>
      <c r="M46" s="42">
        <v>0.18035000000000001</v>
      </c>
      <c r="N46" s="42">
        <v>0.28005000000000002</v>
      </c>
      <c r="O46" s="33">
        <v>27.8</v>
      </c>
      <c r="P46" s="33">
        <v>3.8000000000000007</v>
      </c>
      <c r="Q46" s="68">
        <f t="shared" si="5"/>
        <v>1.5</v>
      </c>
      <c r="R46" s="42">
        <f t="shared" si="2"/>
        <v>28.465652249999998</v>
      </c>
      <c r="S46" s="9">
        <f t="shared" si="3"/>
        <v>13.015859500000001</v>
      </c>
    </row>
    <row r="47" spans="1:19" x14ac:dyDescent="0.2">
      <c r="A47" s="32">
        <v>23</v>
      </c>
      <c r="B47" s="32" t="s">
        <v>118</v>
      </c>
      <c r="C47" s="32"/>
      <c r="D47" s="34">
        <v>4</v>
      </c>
      <c r="E47" s="42">
        <v>2</v>
      </c>
      <c r="F47" s="34">
        <v>2</v>
      </c>
      <c r="G47" s="33" t="s">
        <v>91</v>
      </c>
      <c r="H47" s="33" t="s">
        <v>117</v>
      </c>
      <c r="I47" s="33">
        <v>12</v>
      </c>
      <c r="J47" s="1">
        <v>11.891999999999998</v>
      </c>
      <c r="K47" s="19">
        <f t="shared" si="4"/>
        <v>6.2974999999999994</v>
      </c>
      <c r="L47" s="9">
        <v>0.4932890115403914</v>
      </c>
      <c r="M47" s="9">
        <v>0.21865278474661318</v>
      </c>
      <c r="N47" s="9">
        <v>1.4883341695935774</v>
      </c>
      <c r="O47" s="8">
        <v>56.4</v>
      </c>
      <c r="P47" s="8">
        <v>32.4</v>
      </c>
      <c r="Q47" s="19">
        <f t="shared" si="5"/>
        <v>8.3999999999999986</v>
      </c>
      <c r="R47" s="9">
        <f t="shared" si="2"/>
        <v>58.661929252383338</v>
      </c>
      <c r="S47" s="9">
        <f t="shared" si="3"/>
        <v>26.002189162067232</v>
      </c>
    </row>
    <row r="48" spans="1:19" x14ac:dyDescent="0.2">
      <c r="A48" s="32">
        <v>23</v>
      </c>
      <c r="B48" s="32" t="s">
        <v>116</v>
      </c>
      <c r="C48" s="32"/>
      <c r="D48" s="34">
        <v>4</v>
      </c>
      <c r="E48" s="42">
        <v>2</v>
      </c>
      <c r="F48" s="34">
        <v>2</v>
      </c>
      <c r="G48" s="33" t="s">
        <v>100</v>
      </c>
      <c r="H48" s="33" t="s">
        <v>117</v>
      </c>
      <c r="I48" s="33">
        <v>16</v>
      </c>
      <c r="J48" s="67">
        <v>4.0879999999999992</v>
      </c>
      <c r="K48" s="68">
        <f t="shared" si="4"/>
        <v>6.4902499999999996</v>
      </c>
      <c r="L48" s="42">
        <v>0.36370407149950346</v>
      </c>
      <c r="M48" s="42">
        <v>0.16611221449851044</v>
      </c>
      <c r="N48" s="42">
        <v>0.30182472691161866</v>
      </c>
      <c r="O48" s="33">
        <v>20.6</v>
      </c>
      <c r="P48" s="33">
        <v>-3.3999999999999986</v>
      </c>
      <c r="Q48" s="68">
        <f t="shared" si="5"/>
        <v>7.5</v>
      </c>
      <c r="R48" s="42">
        <f t="shared" si="2"/>
        <v>14.868222442899699</v>
      </c>
      <c r="S48" s="42">
        <f t="shared" si="3"/>
        <v>6.7906673286991044</v>
      </c>
    </row>
    <row r="49" spans="1:19" x14ac:dyDescent="0.2">
      <c r="A49" s="32">
        <v>24</v>
      </c>
      <c r="B49" s="32" t="s">
        <v>119</v>
      </c>
      <c r="C49" s="32"/>
      <c r="D49" s="34">
        <v>4</v>
      </c>
      <c r="E49" s="42">
        <v>3</v>
      </c>
      <c r="F49" s="34">
        <v>3</v>
      </c>
      <c r="G49" s="33" t="s">
        <v>91</v>
      </c>
      <c r="H49" s="33" t="s">
        <v>117</v>
      </c>
      <c r="I49" s="33">
        <v>20</v>
      </c>
      <c r="J49" s="1">
        <v>8.4730000000000008</v>
      </c>
      <c r="K49" s="19">
        <f t="shared" si="4"/>
        <v>7.9174999999999986</v>
      </c>
      <c r="L49" s="9">
        <v>0.50725968797181686</v>
      </c>
      <c r="M49" s="9">
        <v>0.24723200805234019</v>
      </c>
      <c r="N49" s="9">
        <v>1.428787116255662</v>
      </c>
      <c r="O49" s="8">
        <v>29.8</v>
      </c>
      <c r="P49" s="8">
        <v>5.8000000000000007</v>
      </c>
      <c r="Q49" s="19">
        <f t="shared" si="5"/>
        <v>9.6500000000000021</v>
      </c>
      <c r="R49" s="9">
        <f t="shared" si="2"/>
        <v>42.980113361852048</v>
      </c>
      <c r="S49" s="9">
        <f t="shared" si="3"/>
        <v>20.947968042274784</v>
      </c>
    </row>
    <row r="50" spans="1:19" x14ac:dyDescent="0.2">
      <c r="A50" s="32">
        <v>24</v>
      </c>
      <c r="B50" s="32" t="s">
        <v>116</v>
      </c>
      <c r="C50" s="32"/>
      <c r="D50" s="34">
        <v>4</v>
      </c>
      <c r="E50" s="42">
        <v>3</v>
      </c>
      <c r="F50" s="34">
        <v>3</v>
      </c>
      <c r="G50" s="33" t="s">
        <v>100</v>
      </c>
      <c r="H50" s="33" t="s">
        <v>117</v>
      </c>
      <c r="I50" s="33">
        <v>24</v>
      </c>
      <c r="J50" s="67">
        <v>5.3189999999999991</v>
      </c>
      <c r="K50" s="68">
        <f t="shared" si="4"/>
        <v>7.4429999999999987</v>
      </c>
      <c r="L50" s="42">
        <v>0.36723618090452254</v>
      </c>
      <c r="M50" s="42">
        <v>0.18948492462311556</v>
      </c>
      <c r="N50" s="42">
        <v>0.25679648241206027</v>
      </c>
      <c r="O50" s="33">
        <v>27.2</v>
      </c>
      <c r="P50" s="33">
        <v>3.1999999999999993</v>
      </c>
      <c r="Q50" s="68">
        <f t="shared" si="5"/>
        <v>9.5</v>
      </c>
      <c r="R50" s="42">
        <f t="shared" si="2"/>
        <v>19.53329246231155</v>
      </c>
      <c r="S50" s="9">
        <f t="shared" si="3"/>
        <v>10.078703140703515</v>
      </c>
    </row>
    <row r="51" spans="1:19" x14ac:dyDescent="0.2">
      <c r="A51" s="32">
        <v>25</v>
      </c>
      <c r="B51" s="32" t="s">
        <v>120</v>
      </c>
      <c r="C51" s="32"/>
      <c r="D51" s="34">
        <v>4</v>
      </c>
      <c r="E51" s="42">
        <v>4</v>
      </c>
      <c r="F51" s="34">
        <v>4</v>
      </c>
      <c r="G51" s="33" t="s">
        <v>91</v>
      </c>
      <c r="H51" s="33" t="s">
        <v>115</v>
      </c>
      <c r="I51" s="33">
        <v>28</v>
      </c>
      <c r="J51" s="1">
        <v>2.5489999999999995</v>
      </c>
      <c r="K51" s="19">
        <f t="shared" si="4"/>
        <v>5.1072499999999996</v>
      </c>
      <c r="L51" s="9">
        <v>0.48358040201005026</v>
      </c>
      <c r="M51" s="9">
        <v>0.23899497487437182</v>
      </c>
      <c r="N51" s="9">
        <v>1.1576130653266332</v>
      </c>
      <c r="O51" s="8">
        <v>24</v>
      </c>
      <c r="P51" s="8">
        <v>0</v>
      </c>
      <c r="Q51" s="19">
        <f t="shared" si="5"/>
        <v>1.4000000000000004</v>
      </c>
      <c r="R51" s="9">
        <f t="shared" si="2"/>
        <v>12.326464447236178</v>
      </c>
      <c r="S51" s="9">
        <f t="shared" si="3"/>
        <v>6.0919819095477372</v>
      </c>
    </row>
    <row r="52" spans="1:19" x14ac:dyDescent="0.2">
      <c r="A52" s="32">
        <v>25</v>
      </c>
      <c r="B52" s="32" t="s">
        <v>116</v>
      </c>
      <c r="C52" s="32"/>
      <c r="D52" s="34">
        <v>4</v>
      </c>
      <c r="E52" s="42">
        <v>4</v>
      </c>
      <c r="F52" s="34">
        <v>4</v>
      </c>
      <c r="G52" s="33" t="s">
        <v>100</v>
      </c>
      <c r="H52" s="33" t="s">
        <v>117</v>
      </c>
      <c r="I52" s="33">
        <v>32</v>
      </c>
      <c r="J52" s="67">
        <v>7.6440000000000001</v>
      </c>
      <c r="K52" s="68">
        <f t="shared" si="4"/>
        <v>5.9962499999999999</v>
      </c>
      <c r="L52" s="42">
        <v>0.37296323894684547</v>
      </c>
      <c r="M52" s="42">
        <v>0.19448584202682562</v>
      </c>
      <c r="N52" s="42">
        <v>0.29119473422752107</v>
      </c>
      <c r="O52" s="33">
        <v>69.8</v>
      </c>
      <c r="P52" s="33">
        <v>45.8</v>
      </c>
      <c r="Q52" s="68">
        <f t="shared" si="5"/>
        <v>13.7</v>
      </c>
      <c r="R52" s="42">
        <f t="shared" si="2"/>
        <v>28.50930998509687</v>
      </c>
      <c r="S52" s="9">
        <f t="shared" si="3"/>
        <v>14.86649776453055</v>
      </c>
    </row>
    <row r="53" spans="1:19" x14ac:dyDescent="0.2">
      <c r="A53" s="32">
        <v>26</v>
      </c>
      <c r="B53" s="32" t="s">
        <v>121</v>
      </c>
      <c r="C53" s="32"/>
      <c r="D53" s="34">
        <v>4</v>
      </c>
      <c r="E53" s="42">
        <v>5</v>
      </c>
      <c r="F53" s="34">
        <v>5</v>
      </c>
      <c r="G53" s="33" t="s">
        <v>100</v>
      </c>
      <c r="H53" s="33" t="s">
        <v>117</v>
      </c>
      <c r="I53" s="33">
        <v>36</v>
      </c>
      <c r="J53" s="1">
        <v>10.63</v>
      </c>
      <c r="K53" s="19">
        <f t="shared" si="4"/>
        <v>6.5354999999999999</v>
      </c>
      <c r="L53" s="9">
        <v>0.28979899497487438</v>
      </c>
      <c r="M53" s="9">
        <v>0.16582914572864318</v>
      </c>
      <c r="N53" s="9">
        <v>0.2235427135678392</v>
      </c>
      <c r="O53" s="8">
        <v>70.2</v>
      </c>
      <c r="P53" s="8">
        <v>46.2</v>
      </c>
      <c r="Q53" s="19">
        <f t="shared" si="5"/>
        <v>23.8</v>
      </c>
      <c r="R53" s="9">
        <f t="shared" si="2"/>
        <v>30.805633165829146</v>
      </c>
      <c r="S53" s="9">
        <f t="shared" si="3"/>
        <v>17.627638190954769</v>
      </c>
    </row>
    <row r="54" spans="1:19" x14ac:dyDescent="0.2">
      <c r="A54" s="32">
        <v>26</v>
      </c>
      <c r="B54" s="32" t="s">
        <v>122</v>
      </c>
      <c r="C54" s="32"/>
      <c r="D54" s="34">
        <v>4</v>
      </c>
      <c r="E54" s="42">
        <v>5</v>
      </c>
      <c r="F54" s="34">
        <v>5</v>
      </c>
      <c r="G54" s="33" t="s">
        <v>100</v>
      </c>
      <c r="H54" s="33" t="s">
        <v>117</v>
      </c>
      <c r="I54" s="33">
        <v>40</v>
      </c>
      <c r="J54" s="67">
        <v>8.4500000000000011</v>
      </c>
      <c r="K54" s="68">
        <f t="shared" si="4"/>
        <v>7.3182500000000008</v>
      </c>
      <c r="L54" s="42">
        <v>0.29479322371699052</v>
      </c>
      <c r="M54" s="42">
        <v>0.14958893871449927</v>
      </c>
      <c r="N54" s="42">
        <v>0.2623069257598406</v>
      </c>
      <c r="O54" s="33">
        <v>54.4</v>
      </c>
      <c r="P54" s="33">
        <v>30.4</v>
      </c>
      <c r="Q54" s="68">
        <f t="shared" si="5"/>
        <v>30.6</v>
      </c>
      <c r="R54" s="42">
        <f t="shared" si="2"/>
        <v>24.910027404085703</v>
      </c>
      <c r="S54" s="9">
        <f t="shared" si="3"/>
        <v>12.640265321375191</v>
      </c>
    </row>
    <row r="55" spans="1:19" x14ac:dyDescent="0.2">
      <c r="A55" s="32">
        <v>27</v>
      </c>
      <c r="B55" s="32" t="s">
        <v>123</v>
      </c>
      <c r="C55" s="32"/>
      <c r="D55" s="34">
        <v>4</v>
      </c>
      <c r="E55" s="42">
        <v>6</v>
      </c>
      <c r="F55" s="34">
        <v>6</v>
      </c>
      <c r="G55" s="33" t="s">
        <v>91</v>
      </c>
      <c r="H55" s="33" t="s">
        <v>115</v>
      </c>
      <c r="I55" s="33">
        <v>44</v>
      </c>
      <c r="J55" s="1">
        <v>5.4929999999999986</v>
      </c>
      <c r="K55" s="19">
        <f t="shared" si="4"/>
        <v>8.0542499999999997</v>
      </c>
      <c r="L55" s="9">
        <v>0.54754901960784319</v>
      </c>
      <c r="M55" s="9">
        <v>0.28218954248366013</v>
      </c>
      <c r="N55" s="9">
        <v>1.4786324786324787</v>
      </c>
      <c r="O55" s="8">
        <v>28.2</v>
      </c>
      <c r="P55" s="8">
        <v>4.1999999999999993</v>
      </c>
      <c r="Q55" s="19">
        <f t="shared" si="5"/>
        <v>31.650000000000002</v>
      </c>
      <c r="R55" s="9">
        <f t="shared" si="2"/>
        <v>30.076867647058819</v>
      </c>
      <c r="S55" s="9">
        <f t="shared" si="3"/>
        <v>15.500671568627446</v>
      </c>
    </row>
    <row r="56" spans="1:19" x14ac:dyDescent="0.2">
      <c r="A56" s="32">
        <v>27</v>
      </c>
      <c r="B56" s="32" t="s">
        <v>124</v>
      </c>
      <c r="C56" s="32"/>
      <c r="D56" s="34">
        <v>4</v>
      </c>
      <c r="E56" s="42">
        <v>6</v>
      </c>
      <c r="F56" s="34">
        <v>6</v>
      </c>
      <c r="G56" s="33" t="s">
        <v>91</v>
      </c>
      <c r="H56" s="33" t="s">
        <v>115</v>
      </c>
      <c r="I56" s="33">
        <v>48</v>
      </c>
      <c r="J56" s="1">
        <v>2.4309999999999992</v>
      </c>
      <c r="K56" s="19">
        <f t="shared" si="4"/>
        <v>6.7509999999999994</v>
      </c>
      <c r="L56" s="9">
        <v>0.49741249999999992</v>
      </c>
      <c r="M56" s="9">
        <v>0.28778749999999997</v>
      </c>
      <c r="N56" s="9">
        <v>1.41475</v>
      </c>
      <c r="O56" s="8">
        <v>28.6</v>
      </c>
      <c r="P56" s="8">
        <v>4.6000000000000014</v>
      </c>
      <c r="Q56" s="19">
        <f t="shared" si="5"/>
        <v>21.35</v>
      </c>
      <c r="R56" s="9">
        <f t="shared" si="2"/>
        <v>12.092097874999993</v>
      </c>
      <c r="S56" s="9">
        <f t="shared" si="3"/>
        <v>6.9961141249999965</v>
      </c>
    </row>
    <row r="57" spans="1:19" ht="15" x14ac:dyDescent="0.25">
      <c r="A57" s="32">
        <v>28</v>
      </c>
      <c r="B57" s="32" t="s">
        <v>133</v>
      </c>
      <c r="C57" s="32"/>
      <c r="D57" s="34">
        <v>4</v>
      </c>
      <c r="E57" s="42">
        <v>7</v>
      </c>
      <c r="F57" s="34">
        <v>7</v>
      </c>
      <c r="G57" s="33" t="s">
        <v>91</v>
      </c>
      <c r="H57" s="33" t="s">
        <v>117</v>
      </c>
      <c r="I57" s="33">
        <v>52</v>
      </c>
      <c r="J57" s="67">
        <v>3.7439999999999998</v>
      </c>
      <c r="K57" s="68">
        <f t="shared" si="4"/>
        <v>5.0294999999999996</v>
      </c>
      <c r="L57" s="42">
        <v>0.4456153462879921</v>
      </c>
      <c r="M57" s="42">
        <v>0.24976332835077228</v>
      </c>
      <c r="N57" s="42">
        <v>1.3668410563029398</v>
      </c>
      <c r="O57" s="33"/>
      <c r="P57" s="33" t="s">
        <v>146</v>
      </c>
      <c r="Q57" s="68"/>
      <c r="R57" s="42">
        <f t="shared" si="2"/>
        <v>16.683838565022423</v>
      </c>
      <c r="S57" s="42">
        <f t="shared" si="3"/>
        <v>9.3511390134529133</v>
      </c>
    </row>
    <row r="58" spans="1:19" ht="15" x14ac:dyDescent="0.25">
      <c r="A58" s="32">
        <v>28</v>
      </c>
      <c r="B58" s="32" t="s">
        <v>134</v>
      </c>
      <c r="C58" s="32"/>
      <c r="D58" s="34">
        <v>4</v>
      </c>
      <c r="E58" s="42">
        <v>7</v>
      </c>
      <c r="F58" s="34">
        <v>7</v>
      </c>
      <c r="G58" s="33" t="s">
        <v>91</v>
      </c>
      <c r="H58" s="33" t="s">
        <v>117</v>
      </c>
      <c r="I58" s="33">
        <v>56</v>
      </c>
      <c r="J58" s="67">
        <v>4.9179999999999993</v>
      </c>
      <c r="K58" s="68">
        <f t="shared" si="4"/>
        <v>4.1464999999999996</v>
      </c>
      <c r="L58" s="42">
        <v>0.35343014521782673</v>
      </c>
      <c r="M58" s="42">
        <v>0.20604656985478217</v>
      </c>
      <c r="N58" s="74">
        <v>0.24002253380070102</v>
      </c>
      <c r="O58" s="33"/>
      <c r="P58" s="33" t="s">
        <v>146</v>
      </c>
      <c r="Q58" s="33"/>
      <c r="R58" s="42">
        <f t="shared" si="2"/>
        <v>17.381694541812717</v>
      </c>
      <c r="S58" s="42">
        <f t="shared" si="3"/>
        <v>10.133370305458184</v>
      </c>
    </row>
  </sheetData>
  <autoFilter ref="A3:R58">
    <sortState ref="A4:R58">
      <sortCondition ref="A4:A58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8"/>
  <sheetViews>
    <sheetView workbookViewId="0">
      <selection activeCell="L3" sqref="L3"/>
    </sheetView>
  </sheetViews>
  <sheetFormatPr defaultRowHeight="12.75" x14ac:dyDescent="0.2"/>
  <cols>
    <col min="8" max="8" width="8.7109375" customWidth="1"/>
    <col min="9" max="26" width="9.140625" customWidth="1"/>
    <col min="27" max="28" width="8.85546875" customWidth="1"/>
    <col min="29" max="29" width="9.42578125" customWidth="1"/>
    <col min="30" max="31" width="8.85546875" customWidth="1"/>
    <col min="32" max="32" width="9.42578125" customWidth="1"/>
    <col min="33" max="38" width="8.85546875" customWidth="1"/>
    <col min="39" max="40" width="9.140625" customWidth="1"/>
  </cols>
  <sheetData>
    <row r="1" spans="1:49" x14ac:dyDescent="0.2">
      <c r="AU1" t="s">
        <v>167</v>
      </c>
    </row>
    <row r="2" spans="1:49" x14ac:dyDescent="0.2">
      <c r="G2" s="2"/>
      <c r="H2" s="2"/>
      <c r="M2" s="8"/>
      <c r="N2" s="17" t="s">
        <v>9</v>
      </c>
      <c r="O2" s="17" t="s">
        <v>10</v>
      </c>
      <c r="P2" s="17" t="s">
        <v>11</v>
      </c>
      <c r="Q2" s="17" t="s">
        <v>12</v>
      </c>
      <c r="R2" s="17" t="s">
        <v>13</v>
      </c>
      <c r="S2" s="17" t="s">
        <v>14</v>
      </c>
      <c r="T2" s="17" t="s">
        <v>15</v>
      </c>
      <c r="U2" s="17" t="s">
        <v>16</v>
      </c>
      <c r="V2" s="17" t="s">
        <v>17</v>
      </c>
      <c r="W2" s="17" t="s">
        <v>18</v>
      </c>
      <c r="X2" s="17" t="s">
        <v>19</v>
      </c>
      <c r="Y2" s="17" t="s">
        <v>20</v>
      </c>
      <c r="AA2" s="17" t="s">
        <v>90</v>
      </c>
      <c r="AB2" s="17" t="s">
        <v>91</v>
      </c>
      <c r="AC2" s="17" t="s">
        <v>92</v>
      </c>
      <c r="AD2" s="17" t="s">
        <v>93</v>
      </c>
      <c r="AE2" s="17" t="s">
        <v>94</v>
      </c>
      <c r="AF2" s="17" t="s">
        <v>95</v>
      </c>
      <c r="AG2" s="17" t="s">
        <v>96</v>
      </c>
      <c r="AH2" s="17" t="s">
        <v>97</v>
      </c>
      <c r="AI2" s="17" t="s">
        <v>98</v>
      </c>
      <c r="AJ2" s="17" t="s">
        <v>99</v>
      </c>
      <c r="AK2" s="17" t="s">
        <v>100</v>
      </c>
      <c r="AL2" s="17" t="s">
        <v>101</v>
      </c>
      <c r="AO2" t="s">
        <v>92</v>
      </c>
      <c r="AP2" t="s">
        <v>99</v>
      </c>
      <c r="AQ2" t="s">
        <v>100</v>
      </c>
      <c r="AU2" s="50" t="s">
        <v>158</v>
      </c>
      <c r="AV2" t="s">
        <v>159</v>
      </c>
      <c r="AW2" t="s">
        <v>159</v>
      </c>
    </row>
    <row r="3" spans="1:49" ht="25.5" x14ac:dyDescent="0.2">
      <c r="A3" s="25" t="s">
        <v>105</v>
      </c>
      <c r="B3" s="25" t="s">
        <v>106</v>
      </c>
      <c r="C3" s="25"/>
      <c r="D3" s="26" t="s">
        <v>107</v>
      </c>
      <c r="E3" s="26" t="s">
        <v>108</v>
      </c>
      <c r="F3" s="26" t="s">
        <v>109</v>
      </c>
      <c r="G3" s="26"/>
      <c r="H3" s="6" t="s">
        <v>4</v>
      </c>
      <c r="I3" s="3" t="s">
        <v>3</v>
      </c>
      <c r="J3" s="5" t="s">
        <v>7</v>
      </c>
      <c r="K3" s="5" t="s">
        <v>8</v>
      </c>
      <c r="L3" t="s">
        <v>323</v>
      </c>
      <c r="M3" s="8" t="s">
        <v>21</v>
      </c>
      <c r="N3" s="17" t="s">
        <v>22</v>
      </c>
      <c r="O3" s="17" t="s">
        <v>22</v>
      </c>
      <c r="P3" s="17" t="s">
        <v>22</v>
      </c>
      <c r="Q3" s="17" t="s">
        <v>22</v>
      </c>
      <c r="R3" s="17" t="s">
        <v>22</v>
      </c>
      <c r="S3" s="17" t="s">
        <v>22</v>
      </c>
      <c r="T3" s="17" t="s">
        <v>22</v>
      </c>
      <c r="U3" s="17" t="s">
        <v>22</v>
      </c>
      <c r="V3" s="17" t="s">
        <v>22</v>
      </c>
      <c r="W3" s="17" t="s">
        <v>22</v>
      </c>
      <c r="X3" s="17" t="s">
        <v>22</v>
      </c>
      <c r="Y3" s="17" t="s">
        <v>22</v>
      </c>
      <c r="AA3" s="17" t="s">
        <v>103</v>
      </c>
      <c r="AB3" s="17" t="s">
        <v>103</v>
      </c>
      <c r="AC3" s="17" t="s">
        <v>102</v>
      </c>
      <c r="AD3" s="17" t="s">
        <v>103</v>
      </c>
      <c r="AE3" s="17" t="s">
        <v>103</v>
      </c>
      <c r="AF3" s="17" t="s">
        <v>102</v>
      </c>
      <c r="AG3" s="17" t="s">
        <v>102</v>
      </c>
      <c r="AH3" s="17" t="s">
        <v>103</v>
      </c>
      <c r="AI3" s="17" t="s">
        <v>103</v>
      </c>
      <c r="AJ3" s="17" t="s">
        <v>102</v>
      </c>
      <c r="AK3" s="17" t="s">
        <v>102</v>
      </c>
      <c r="AL3" s="17" t="s">
        <v>103</v>
      </c>
      <c r="AO3" t="s">
        <v>102</v>
      </c>
      <c r="AP3" t="s">
        <v>102</v>
      </c>
      <c r="AQ3" t="s">
        <v>102</v>
      </c>
      <c r="AU3" s="49" t="s">
        <v>113</v>
      </c>
      <c r="AV3" s="1" t="s">
        <v>155</v>
      </c>
      <c r="AW3" s="1" t="s">
        <v>113</v>
      </c>
    </row>
    <row r="4" spans="1:49" x14ac:dyDescent="0.2">
      <c r="A4">
        <v>1</v>
      </c>
      <c r="B4" t="s">
        <v>114</v>
      </c>
      <c r="D4" s="8">
        <v>1</v>
      </c>
      <c r="E4" s="29">
        <v>1</v>
      </c>
      <c r="F4" s="8" t="s">
        <v>91</v>
      </c>
      <c r="G4" s="8" t="s">
        <v>115</v>
      </c>
      <c r="H4" s="1">
        <v>1</v>
      </c>
      <c r="I4" s="1">
        <v>1</v>
      </c>
      <c r="J4" s="7">
        <v>0.19919999999999999</v>
      </c>
      <c r="K4" s="1">
        <v>25</v>
      </c>
      <c r="L4" s="54">
        <f>J4*1000/25</f>
        <v>7.968</v>
      </c>
      <c r="M4" s="8" t="s">
        <v>23</v>
      </c>
      <c r="N4" s="9">
        <v>5.0883000000000003</v>
      </c>
      <c r="O4" s="9">
        <v>0.62973999999999997</v>
      </c>
      <c r="P4" s="9">
        <v>102.94</v>
      </c>
      <c r="Q4" s="9">
        <v>7.5200000000000003E-2</v>
      </c>
      <c r="R4" s="9">
        <v>1.1034999999999999</v>
      </c>
      <c r="S4" s="9">
        <v>140.91999999999999</v>
      </c>
      <c r="T4" s="9">
        <v>39.241999999999997</v>
      </c>
      <c r="U4" s="9">
        <v>0.79300000000000004</v>
      </c>
      <c r="V4" s="9">
        <v>0.47874</v>
      </c>
      <c r="W4" s="9">
        <v>31.125</v>
      </c>
      <c r="X4" s="9">
        <v>18.579000000000001</v>
      </c>
      <c r="Y4" s="9">
        <v>0.30523</v>
      </c>
      <c r="AA4" s="19">
        <f t="shared" ref="AA4:AA35" si="0">((N4*$K4)-N$77)/$J4</f>
        <v>638.59186746987962</v>
      </c>
      <c r="AB4" s="19">
        <f t="shared" ref="AB4:AL4" si="1">((O4*$K4)-O$77)/$J4</f>
        <v>79.033634538152612</v>
      </c>
      <c r="AC4" s="19">
        <f t="shared" ref="AC4:AC35" si="2">((P4*$K4)-P$77)/$J4/10000</f>
        <v>1.2917450552208836</v>
      </c>
      <c r="AD4" s="19">
        <f t="shared" si="1"/>
        <v>9.4377510040160661</v>
      </c>
      <c r="AE4" s="19">
        <f t="shared" si="1"/>
        <v>138.09287148594379</v>
      </c>
      <c r="AF4" s="19">
        <f t="shared" ref="AF4:AF35" si="3">((S4*$K4)-S$77)/$J4/10000</f>
        <v>1.7674995481927711</v>
      </c>
      <c r="AG4" s="19">
        <f t="shared" ref="AG4:AG35" si="4">((T4*$K4)-T$77)/$J4/10000</f>
        <v>0.49249497991967872</v>
      </c>
      <c r="AH4" s="19">
        <f t="shared" si="1"/>
        <v>99.523092369477908</v>
      </c>
      <c r="AI4" s="19">
        <f t="shared" si="1"/>
        <v>60.082831325301214</v>
      </c>
      <c r="AJ4" s="19">
        <f t="shared" ref="AJ4:AJ35" si="5">((W4*$K4)-W$77)/$J4/10000</f>
        <v>0.39005609939759039</v>
      </c>
      <c r="AK4" s="19">
        <f t="shared" ref="AK4:AK35" si="6">((X4*$K4)-X$77)/$J4/10000</f>
        <v>0.23180205823293176</v>
      </c>
      <c r="AL4" s="19">
        <f t="shared" si="1"/>
        <v>38.306977911646591</v>
      </c>
      <c r="AN4" t="s">
        <v>91</v>
      </c>
      <c r="AO4" s="9">
        <v>1.2917450552208836</v>
      </c>
      <c r="AP4" s="9">
        <v>0.39005609939759039</v>
      </c>
      <c r="AQ4" s="9">
        <v>0.23180205823293176</v>
      </c>
      <c r="AR4" s="9">
        <v>0.230015575</v>
      </c>
      <c r="AS4" s="9">
        <v>0.279020875</v>
      </c>
      <c r="AT4" s="9">
        <v>0.1029586</v>
      </c>
      <c r="AU4" s="29">
        <v>443</v>
      </c>
      <c r="AV4" s="29">
        <v>0</v>
      </c>
      <c r="AW4" s="29">
        <v>-20</v>
      </c>
    </row>
    <row r="5" spans="1:49" x14ac:dyDescent="0.2">
      <c r="A5" s="32">
        <v>1</v>
      </c>
      <c r="B5" s="32" t="s">
        <v>116</v>
      </c>
      <c r="C5" s="32"/>
      <c r="D5" s="33">
        <v>1</v>
      </c>
      <c r="E5" s="34">
        <v>1</v>
      </c>
      <c r="F5" s="33" t="s">
        <v>100</v>
      </c>
      <c r="G5" s="33" t="s">
        <v>117</v>
      </c>
      <c r="H5" s="1">
        <v>2</v>
      </c>
      <c r="I5" s="1">
        <v>2</v>
      </c>
      <c r="J5" s="7">
        <v>0.2</v>
      </c>
      <c r="K5" s="1">
        <v>25</v>
      </c>
      <c r="L5" s="54">
        <f t="shared" ref="L5:L59" si="7">J5*1000/25</f>
        <v>8</v>
      </c>
      <c r="M5" s="8" t="s">
        <v>24</v>
      </c>
      <c r="N5" s="9">
        <v>1.4668000000000001</v>
      </c>
      <c r="O5" s="9">
        <v>0.12753999999999999</v>
      </c>
      <c r="P5" s="9">
        <v>18.414999999999999</v>
      </c>
      <c r="Q5" s="9">
        <v>4.4850000000000001E-2</v>
      </c>
      <c r="R5" s="9">
        <v>0.43237999999999999</v>
      </c>
      <c r="S5" s="9">
        <v>202.9</v>
      </c>
      <c r="T5" s="9">
        <v>15.112</v>
      </c>
      <c r="U5" s="9">
        <v>0.65261000000000002</v>
      </c>
      <c r="V5" s="9">
        <v>9.1770000000000004E-2</v>
      </c>
      <c r="W5" s="9">
        <v>22.367000000000001</v>
      </c>
      <c r="X5" s="9">
        <v>8.3457000000000008</v>
      </c>
      <c r="Y5" s="9">
        <v>0.15672</v>
      </c>
      <c r="AA5" s="19">
        <f t="shared" si="0"/>
        <v>183.35</v>
      </c>
      <c r="AB5" s="19">
        <f t="shared" ref="AB5:AB36" si="8">((O5*$K5)-O$77)/$J5</f>
        <v>15.942499999999997</v>
      </c>
      <c r="AC5" s="19">
        <f t="shared" si="2"/>
        <v>0.230015575</v>
      </c>
      <c r="AD5" s="19">
        <f t="shared" ref="AD5:AD36" si="9">((Q5*$K5)-Q$77)/$J5</f>
        <v>5.6062500000000002</v>
      </c>
      <c r="AE5" s="19">
        <f t="shared" ref="AE5:AE36" si="10">((R5*$K5)-R$77)/$J5</f>
        <v>53.650500000000001</v>
      </c>
      <c r="AF5" s="19">
        <f t="shared" si="3"/>
        <v>2.5351795499999996</v>
      </c>
      <c r="AG5" s="19">
        <f t="shared" si="4"/>
        <v>0.18890000000000001</v>
      </c>
      <c r="AH5" s="19">
        <f t="shared" ref="AH5:AH36" si="11">((U5*$K5)-U$77)/$J5</f>
        <v>81.576249999999987</v>
      </c>
      <c r="AI5" s="19">
        <f t="shared" ref="AI5:AI36" si="12">((V5*$K5)-V$77)/$J5</f>
        <v>11.47125</v>
      </c>
      <c r="AJ5" s="19">
        <f t="shared" si="5"/>
        <v>0.279020875</v>
      </c>
      <c r="AK5" s="19">
        <f t="shared" si="6"/>
        <v>0.1029586</v>
      </c>
      <c r="AL5" s="19">
        <f t="shared" ref="AL5:AL36" si="13">((Y5*$K5)-Y$77)/$J5</f>
        <v>19.59</v>
      </c>
      <c r="AN5" t="s">
        <v>100</v>
      </c>
      <c r="AO5" s="9">
        <v>0.230015575</v>
      </c>
      <c r="AP5" s="9">
        <v>0.279020875</v>
      </c>
      <c r="AQ5" s="9">
        <v>0.1029586</v>
      </c>
      <c r="AR5" s="9">
        <v>1.2917450552208836</v>
      </c>
      <c r="AS5" s="9">
        <v>0.39005609939759039</v>
      </c>
      <c r="AT5" s="9">
        <v>0.23180205823293176</v>
      </c>
      <c r="AU5" s="29">
        <v>-17.600000000000001</v>
      </c>
      <c r="AV5" s="29">
        <v>20</v>
      </c>
      <c r="AW5" s="29">
        <v>0</v>
      </c>
    </row>
    <row r="6" spans="1:49" x14ac:dyDescent="0.2">
      <c r="A6" s="32">
        <v>2</v>
      </c>
      <c r="B6" s="32" t="s">
        <v>118</v>
      </c>
      <c r="C6" s="32"/>
      <c r="D6" s="33">
        <v>1</v>
      </c>
      <c r="E6" s="34">
        <v>2</v>
      </c>
      <c r="F6" s="33" t="s">
        <v>91</v>
      </c>
      <c r="G6" s="33" t="s">
        <v>117</v>
      </c>
      <c r="H6" s="1">
        <v>1</v>
      </c>
      <c r="I6" s="1">
        <v>3</v>
      </c>
      <c r="J6" s="7">
        <v>0.2009</v>
      </c>
      <c r="K6" s="1">
        <v>25</v>
      </c>
      <c r="L6" s="54">
        <f t="shared" si="7"/>
        <v>8.0359999999999996</v>
      </c>
      <c r="M6" s="8" t="s">
        <v>25</v>
      </c>
      <c r="N6" s="9">
        <v>0.50946000000000002</v>
      </c>
      <c r="O6" s="9">
        <v>0.28123999999999999</v>
      </c>
      <c r="P6" s="9">
        <v>104.9</v>
      </c>
      <c r="Q6" s="9">
        <v>5.1549999999999999E-2</v>
      </c>
      <c r="R6" s="9">
        <v>0.36148999999999998</v>
      </c>
      <c r="S6" s="9">
        <v>104.06</v>
      </c>
      <c r="T6" s="9">
        <v>41.03</v>
      </c>
      <c r="U6" s="9">
        <v>0.81430999999999998</v>
      </c>
      <c r="V6" s="9">
        <v>2.444E-2</v>
      </c>
      <c r="W6" s="9">
        <v>37.673999999999999</v>
      </c>
      <c r="X6" s="9">
        <v>20.367999999999999</v>
      </c>
      <c r="Y6" s="9">
        <v>0.39816000000000001</v>
      </c>
      <c r="AA6" s="19">
        <f t="shared" si="0"/>
        <v>63.397212543554012</v>
      </c>
      <c r="AB6" s="19">
        <f t="shared" si="8"/>
        <v>34.997511199601789</v>
      </c>
      <c r="AC6" s="19">
        <f t="shared" si="2"/>
        <v>1.3052046540567446</v>
      </c>
      <c r="AD6" s="19">
        <f t="shared" si="9"/>
        <v>6.4148830263812844</v>
      </c>
      <c r="AE6" s="19">
        <f t="shared" si="10"/>
        <v>44.588601294176208</v>
      </c>
      <c r="AF6" s="19">
        <f t="shared" si="3"/>
        <v>1.293857192633151</v>
      </c>
      <c r="AG6" s="19">
        <f t="shared" si="4"/>
        <v>0.5105774016923843</v>
      </c>
      <c r="AH6" s="19">
        <f t="shared" si="11"/>
        <v>101.33275261324042</v>
      </c>
      <c r="AI6" s="19">
        <f t="shared" si="12"/>
        <v>3.0413140866102539</v>
      </c>
      <c r="AJ6" s="19">
        <f t="shared" si="5"/>
        <v>0.46825124440019916</v>
      </c>
      <c r="AK6" s="19">
        <f t="shared" si="6"/>
        <v>0.2521028870084619</v>
      </c>
      <c r="AL6" s="19">
        <f t="shared" si="13"/>
        <v>49.547038327526138</v>
      </c>
      <c r="AN6" t="s">
        <v>91</v>
      </c>
      <c r="AO6" s="9">
        <v>1.3052046540567446</v>
      </c>
      <c r="AP6" s="9">
        <v>0.46825124440019916</v>
      </c>
      <c r="AQ6" s="9">
        <v>0.2521028870084619</v>
      </c>
      <c r="AR6" s="9">
        <v>0.1706476605276257</v>
      </c>
      <c r="AS6" s="9">
        <v>0.31100883524141371</v>
      </c>
      <c r="AT6" s="9">
        <v>0.10253096067695372</v>
      </c>
      <c r="AU6" s="29">
        <v>479</v>
      </c>
      <c r="AV6" s="29">
        <v>0</v>
      </c>
      <c r="AW6" s="29">
        <v>-20</v>
      </c>
    </row>
    <row r="7" spans="1:49" x14ac:dyDescent="0.2">
      <c r="A7" s="32">
        <v>2</v>
      </c>
      <c r="B7" s="32" t="s">
        <v>116</v>
      </c>
      <c r="C7" s="32"/>
      <c r="D7" s="33">
        <v>1</v>
      </c>
      <c r="E7" s="34">
        <v>2</v>
      </c>
      <c r="F7" s="33" t="s">
        <v>100</v>
      </c>
      <c r="G7" s="33" t="s">
        <v>117</v>
      </c>
      <c r="H7" s="1">
        <v>2</v>
      </c>
      <c r="I7" s="1">
        <v>4</v>
      </c>
      <c r="J7" s="7">
        <v>0.2009</v>
      </c>
      <c r="K7" s="1">
        <v>25</v>
      </c>
      <c r="L7" s="54">
        <f t="shared" si="7"/>
        <v>8.0359999999999996</v>
      </c>
      <c r="M7" s="8" t="s">
        <v>26</v>
      </c>
      <c r="N7" s="9">
        <v>0.21442</v>
      </c>
      <c r="O7" s="9">
        <v>3.5999999999999997E-2</v>
      </c>
      <c r="P7" s="9">
        <v>13.727</v>
      </c>
      <c r="Q7" s="9">
        <v>4.0710000000000003E-2</v>
      </c>
      <c r="R7" s="9">
        <v>0.37079000000000001</v>
      </c>
      <c r="S7" s="9">
        <v>192.88</v>
      </c>
      <c r="T7" s="9">
        <v>15.311</v>
      </c>
      <c r="U7" s="9">
        <v>0.54551000000000005</v>
      </c>
      <c r="V7" s="9">
        <v>0</v>
      </c>
      <c r="W7" s="9">
        <v>25.038</v>
      </c>
      <c r="X7" s="9">
        <v>8.3483999999999998</v>
      </c>
      <c r="Y7" s="9">
        <v>0.22511</v>
      </c>
      <c r="AA7" s="19">
        <f t="shared" si="0"/>
        <v>26.68242906918865</v>
      </c>
      <c r="AB7" s="19">
        <f t="shared" si="8"/>
        <v>4.4798407167745147</v>
      </c>
      <c r="AC7" s="19">
        <f t="shared" si="2"/>
        <v>0.1706476605276257</v>
      </c>
      <c r="AD7" s="19">
        <f t="shared" si="9"/>
        <v>5.0659532105525145</v>
      </c>
      <c r="AE7" s="19">
        <f t="shared" si="10"/>
        <v>45.745893479342961</v>
      </c>
      <c r="AF7" s="19">
        <f t="shared" si="3"/>
        <v>2.3991334494773517</v>
      </c>
      <c r="AG7" s="19">
        <f t="shared" si="4"/>
        <v>0.19053011448481832</v>
      </c>
      <c r="AH7" s="19">
        <f t="shared" si="11"/>
        <v>67.883275261324044</v>
      </c>
      <c r="AI7" s="19">
        <f t="shared" si="12"/>
        <v>0</v>
      </c>
      <c r="AJ7" s="19">
        <f t="shared" si="5"/>
        <v>0.31100883524141371</v>
      </c>
      <c r="AK7" s="19">
        <f t="shared" si="6"/>
        <v>0.10253096067695372</v>
      </c>
      <c r="AL7" s="19">
        <f t="shared" si="13"/>
        <v>28.012692882030862</v>
      </c>
      <c r="AM7" s="16"/>
      <c r="AN7" s="16" t="s">
        <v>100</v>
      </c>
      <c r="AO7" s="9">
        <v>0.1706476605276257</v>
      </c>
      <c r="AP7" s="9">
        <v>0.31100883524141371</v>
      </c>
      <c r="AQ7" s="9">
        <v>0.10253096067695372</v>
      </c>
      <c r="AR7" s="9">
        <v>1.3052046540567446</v>
      </c>
      <c r="AS7" s="9">
        <v>0.46825124440019916</v>
      </c>
      <c r="AT7" s="9">
        <v>0.2521028870084619</v>
      </c>
      <c r="AU7" s="29">
        <v>20.959999999999994</v>
      </c>
      <c r="AV7" s="29">
        <v>38</v>
      </c>
      <c r="AW7" s="29">
        <v>18</v>
      </c>
    </row>
    <row r="8" spans="1:49" x14ac:dyDescent="0.2">
      <c r="A8" s="32">
        <v>3</v>
      </c>
      <c r="B8" s="32" t="s">
        <v>119</v>
      </c>
      <c r="C8" s="32"/>
      <c r="D8" s="33">
        <v>1</v>
      </c>
      <c r="E8" s="34">
        <v>3</v>
      </c>
      <c r="F8" s="33" t="s">
        <v>91</v>
      </c>
      <c r="G8" s="33" t="s">
        <v>117</v>
      </c>
      <c r="H8" s="1">
        <v>1</v>
      </c>
      <c r="I8" s="1">
        <v>5</v>
      </c>
      <c r="J8" s="7">
        <v>0.20030000000000001</v>
      </c>
      <c r="K8" s="1">
        <v>25</v>
      </c>
      <c r="L8" s="54">
        <f t="shared" si="7"/>
        <v>8.0120000000000005</v>
      </c>
      <c r="M8" s="8" t="s">
        <v>27</v>
      </c>
      <c r="N8" s="9">
        <v>0.14691000000000001</v>
      </c>
      <c r="O8" s="9">
        <v>3.7749999999999999E-2</v>
      </c>
      <c r="P8" s="9">
        <v>19.238</v>
      </c>
      <c r="Q8" s="9">
        <v>5.4390000000000001E-2</v>
      </c>
      <c r="R8" s="9">
        <v>0.41023999999999999</v>
      </c>
      <c r="S8" s="9">
        <v>203.33</v>
      </c>
      <c r="T8" s="9">
        <v>17.783999999999999</v>
      </c>
      <c r="U8" s="9">
        <v>0.65303</v>
      </c>
      <c r="V8" s="9">
        <v>0</v>
      </c>
      <c r="W8" s="9">
        <v>20.786999999999999</v>
      </c>
      <c r="X8" s="9">
        <v>9.6615000000000002</v>
      </c>
      <c r="Y8" s="9">
        <v>0.28382000000000002</v>
      </c>
      <c r="AA8" s="19">
        <f t="shared" si="0"/>
        <v>18.336245631552671</v>
      </c>
      <c r="AB8" s="19">
        <f t="shared" si="8"/>
        <v>4.7116824762855716</v>
      </c>
      <c r="AC8" s="19">
        <f t="shared" si="2"/>
        <v>0.23994316025961057</v>
      </c>
      <c r="AD8" s="19">
        <f t="shared" si="9"/>
        <v>6.7885671492760862</v>
      </c>
      <c r="AE8" s="19">
        <f t="shared" si="10"/>
        <v>50.806789815277085</v>
      </c>
      <c r="AF8" s="19">
        <f t="shared" si="3"/>
        <v>2.536749425861208</v>
      </c>
      <c r="AG8" s="19">
        <f t="shared" si="4"/>
        <v>0.22196704942586121</v>
      </c>
      <c r="AH8" s="19">
        <f t="shared" si="11"/>
        <v>81.506490264603087</v>
      </c>
      <c r="AI8" s="19">
        <f t="shared" si="12"/>
        <v>0</v>
      </c>
      <c r="AJ8" s="19">
        <f t="shared" si="5"/>
        <v>0.25888255117324011</v>
      </c>
      <c r="AK8" s="19">
        <f t="shared" si="6"/>
        <v>0.119227259111333</v>
      </c>
      <c r="AL8" s="19">
        <f t="shared" si="13"/>
        <v>35.424363454817772</v>
      </c>
      <c r="AN8" t="s">
        <v>100</v>
      </c>
      <c r="AO8" s="9">
        <v>0.23994316025961057</v>
      </c>
      <c r="AP8" s="9">
        <v>0.25888255117324011</v>
      </c>
      <c r="AQ8" s="9">
        <v>0.119227259111333</v>
      </c>
      <c r="AR8" s="9">
        <v>1.3148699899547964</v>
      </c>
      <c r="AS8" s="9">
        <v>0.44806215469613264</v>
      </c>
      <c r="AT8" s="9">
        <v>0.25440718232044202</v>
      </c>
      <c r="AU8" s="29">
        <v>-18.72</v>
      </c>
      <c r="AV8" s="29">
        <v>34</v>
      </c>
      <c r="AW8" s="29">
        <v>14</v>
      </c>
    </row>
    <row r="9" spans="1:49" x14ac:dyDescent="0.2">
      <c r="A9" s="32">
        <v>3</v>
      </c>
      <c r="B9" s="32" t="s">
        <v>116</v>
      </c>
      <c r="C9" s="32"/>
      <c r="D9" s="33">
        <v>1</v>
      </c>
      <c r="E9" s="34">
        <v>3</v>
      </c>
      <c r="F9" s="33" t="s">
        <v>100</v>
      </c>
      <c r="G9" s="33" t="s">
        <v>117</v>
      </c>
      <c r="H9" s="1">
        <v>2</v>
      </c>
      <c r="I9" s="1">
        <v>6</v>
      </c>
      <c r="J9" s="7">
        <v>0.1991</v>
      </c>
      <c r="K9" s="1">
        <v>25</v>
      </c>
      <c r="L9" s="54">
        <f t="shared" si="7"/>
        <v>7.9639999999999995</v>
      </c>
      <c r="M9" s="8" t="s">
        <v>28</v>
      </c>
      <c r="N9" s="9">
        <v>0.13125000000000001</v>
      </c>
      <c r="O9" s="9">
        <v>0.27965000000000001</v>
      </c>
      <c r="P9" s="9">
        <v>104.73</v>
      </c>
      <c r="Q9" s="9">
        <v>5.7770000000000002E-2</v>
      </c>
      <c r="R9" s="9">
        <v>0.30541000000000001</v>
      </c>
      <c r="S9" s="9">
        <v>111.31</v>
      </c>
      <c r="T9" s="9">
        <v>39.561</v>
      </c>
      <c r="U9" s="9">
        <v>0.75587000000000004</v>
      </c>
      <c r="V9" s="9">
        <v>0</v>
      </c>
      <c r="W9" s="9">
        <v>35.728999999999999</v>
      </c>
      <c r="X9" s="9">
        <v>20.37</v>
      </c>
      <c r="Y9" s="9">
        <v>0.45566000000000001</v>
      </c>
      <c r="AA9" s="19">
        <f t="shared" si="0"/>
        <v>16.48041185334003</v>
      </c>
      <c r="AB9" s="19">
        <f t="shared" si="8"/>
        <v>35.114264188849823</v>
      </c>
      <c r="AC9" s="19">
        <f t="shared" si="2"/>
        <v>1.3148699899547964</v>
      </c>
      <c r="AD9" s="19">
        <f t="shared" si="9"/>
        <v>7.2538925163234556</v>
      </c>
      <c r="AE9" s="19">
        <f t="shared" si="10"/>
        <v>37.950025113008543</v>
      </c>
      <c r="AF9" s="19">
        <f t="shared" si="3"/>
        <v>1.3965892014063286</v>
      </c>
      <c r="AG9" s="19">
        <f t="shared" si="4"/>
        <v>0.49674786539427424</v>
      </c>
      <c r="AH9" s="19">
        <f t="shared" si="11"/>
        <v>94.91084881968861</v>
      </c>
      <c r="AI9" s="19">
        <f t="shared" si="12"/>
        <v>0</v>
      </c>
      <c r="AJ9" s="19">
        <f t="shared" si="5"/>
        <v>0.44806215469613264</v>
      </c>
      <c r="AK9" s="19">
        <f t="shared" si="6"/>
        <v>0.25440718232044202</v>
      </c>
      <c r="AL9" s="19">
        <f t="shared" si="13"/>
        <v>57.214967353088902</v>
      </c>
      <c r="AN9" t="s">
        <v>91</v>
      </c>
      <c r="AO9" s="9">
        <v>1.3148699899547964</v>
      </c>
      <c r="AP9" s="9">
        <v>0.44806215469613264</v>
      </c>
      <c r="AQ9" s="9">
        <v>0.25440718232044202</v>
      </c>
      <c r="AR9" s="9">
        <v>0.23994316025961057</v>
      </c>
      <c r="AS9" s="9">
        <v>0.25888255117324011</v>
      </c>
      <c r="AT9" s="9">
        <v>0.119227259111333</v>
      </c>
      <c r="AU9" s="29">
        <v>-8.0399999999999991</v>
      </c>
      <c r="AV9" s="29">
        <v>38</v>
      </c>
      <c r="AW9" s="29">
        <v>18</v>
      </c>
    </row>
    <row r="10" spans="1:49" x14ac:dyDescent="0.2">
      <c r="A10" s="32">
        <v>4</v>
      </c>
      <c r="B10" s="32" t="s">
        <v>120</v>
      </c>
      <c r="C10" s="32"/>
      <c r="D10" s="33">
        <v>1</v>
      </c>
      <c r="E10" s="34">
        <v>4</v>
      </c>
      <c r="F10" s="33" t="s">
        <v>91</v>
      </c>
      <c r="G10" s="33" t="s">
        <v>115</v>
      </c>
      <c r="H10" s="1">
        <v>1</v>
      </c>
      <c r="I10" s="1">
        <v>7</v>
      </c>
      <c r="J10" s="7">
        <v>0.19919999999999999</v>
      </c>
      <c r="K10" s="1">
        <v>25</v>
      </c>
      <c r="L10" s="54">
        <f t="shared" si="7"/>
        <v>7.968</v>
      </c>
      <c r="M10" s="8" t="s">
        <v>29</v>
      </c>
      <c r="N10" s="9">
        <v>0.19053999999999999</v>
      </c>
      <c r="O10" s="9">
        <v>0.27277000000000001</v>
      </c>
      <c r="P10" s="9">
        <v>84.090999999999994</v>
      </c>
      <c r="Q10" s="9">
        <v>4.6399999999999997E-2</v>
      </c>
      <c r="R10" s="9">
        <v>0.41091</v>
      </c>
      <c r="S10" s="9">
        <v>128.85</v>
      </c>
      <c r="T10" s="9">
        <v>35.122</v>
      </c>
      <c r="U10" s="9">
        <v>0.98284000000000005</v>
      </c>
      <c r="V10" s="9">
        <v>2.0400000000000001E-3</v>
      </c>
      <c r="W10" s="9">
        <v>27.667000000000002</v>
      </c>
      <c r="X10" s="9">
        <v>16.297000000000001</v>
      </c>
      <c r="Y10" s="9">
        <v>0.29815000000000003</v>
      </c>
      <c r="AA10" s="19">
        <f t="shared" si="0"/>
        <v>23.913152610441767</v>
      </c>
      <c r="AB10" s="19">
        <f t="shared" si="8"/>
        <v>34.233182730923701</v>
      </c>
      <c r="AC10" s="19">
        <f t="shared" si="2"/>
        <v>1.0551863202811242</v>
      </c>
      <c r="AD10" s="19">
        <f t="shared" si="9"/>
        <v>5.8232931726907626</v>
      </c>
      <c r="AE10" s="19">
        <f t="shared" si="10"/>
        <v>51.171435742971894</v>
      </c>
      <c r="AF10" s="19">
        <f t="shared" si="3"/>
        <v>1.6160186244979922</v>
      </c>
      <c r="AG10" s="19">
        <f t="shared" si="4"/>
        <v>0.44078815261044174</v>
      </c>
      <c r="AH10" s="19">
        <f t="shared" si="11"/>
        <v>123.34839357429721</v>
      </c>
      <c r="AI10" s="19">
        <f t="shared" si="12"/>
        <v>0.25602409638554219</v>
      </c>
      <c r="AJ10" s="19">
        <f t="shared" si="5"/>
        <v>0.34665750502008041</v>
      </c>
      <c r="AK10" s="19">
        <f t="shared" si="6"/>
        <v>0.20316250000000002</v>
      </c>
      <c r="AL10" s="19">
        <f t="shared" si="13"/>
        <v>37.418423694779122</v>
      </c>
      <c r="AN10" t="s">
        <v>91</v>
      </c>
      <c r="AO10" s="9">
        <v>1.0551863202811242</v>
      </c>
      <c r="AP10" s="9">
        <v>0.34665750502008041</v>
      </c>
      <c r="AQ10" s="9">
        <v>0.20316250000000002</v>
      </c>
      <c r="AR10" s="9">
        <v>1.0551863202811242</v>
      </c>
      <c r="AS10" s="9">
        <v>0.34665750502008041</v>
      </c>
      <c r="AT10" s="9">
        <v>0.20316250000000002</v>
      </c>
      <c r="AU10" s="51">
        <v>12</v>
      </c>
      <c r="AV10" s="47">
        <v>0</v>
      </c>
      <c r="AW10" s="51">
        <v>-20</v>
      </c>
    </row>
    <row r="11" spans="1:49" x14ac:dyDescent="0.2">
      <c r="A11" s="32">
        <v>4</v>
      </c>
      <c r="B11" s="32" t="s">
        <v>116</v>
      </c>
      <c r="C11" s="32"/>
      <c r="D11" s="33">
        <v>1</v>
      </c>
      <c r="E11" s="34">
        <v>4</v>
      </c>
      <c r="F11" s="33" t="s">
        <v>100</v>
      </c>
      <c r="G11" s="33" t="s">
        <v>117</v>
      </c>
      <c r="H11" s="1">
        <v>2</v>
      </c>
      <c r="I11" s="1">
        <v>8</v>
      </c>
      <c r="J11" s="7">
        <v>0.1993</v>
      </c>
      <c r="K11" s="1">
        <v>25</v>
      </c>
      <c r="L11" s="54">
        <f t="shared" si="7"/>
        <v>7.9720000000000004</v>
      </c>
      <c r="M11" s="8" t="s">
        <v>30</v>
      </c>
      <c r="N11" s="9">
        <v>8.8580000000000006E-2</v>
      </c>
      <c r="O11" s="9">
        <v>4.3700000000000003E-2</v>
      </c>
      <c r="P11" s="9">
        <v>17.888999999999999</v>
      </c>
      <c r="Q11" s="9">
        <v>4.3749999999999997E-2</v>
      </c>
      <c r="R11" s="9">
        <v>0.35826999999999998</v>
      </c>
      <c r="S11" s="9">
        <v>234.7</v>
      </c>
      <c r="T11" s="9">
        <v>17.847999999999999</v>
      </c>
      <c r="U11" s="9">
        <v>0.60538000000000003</v>
      </c>
      <c r="V11" s="9">
        <v>0</v>
      </c>
      <c r="W11" s="9">
        <v>21.827000000000002</v>
      </c>
      <c r="X11" s="9">
        <v>9.1075999999999997</v>
      </c>
      <c r="Y11" s="9">
        <v>0.20079</v>
      </c>
      <c r="AA11" s="19">
        <f t="shared" si="0"/>
        <v>11.11138986452584</v>
      </c>
      <c r="AB11" s="19">
        <f t="shared" si="8"/>
        <v>5.4816859006522831</v>
      </c>
      <c r="AC11" s="19">
        <f t="shared" si="2"/>
        <v>0.2242253637732062</v>
      </c>
      <c r="AD11" s="19">
        <f t="shared" si="9"/>
        <v>5.4879578524836932</v>
      </c>
      <c r="AE11" s="19">
        <f t="shared" si="10"/>
        <v>44.542649272453588</v>
      </c>
      <c r="AF11" s="19">
        <f t="shared" si="3"/>
        <v>2.942979979929754</v>
      </c>
      <c r="AG11" s="19">
        <f t="shared" si="4"/>
        <v>0.22388359257400903</v>
      </c>
      <c r="AH11" s="19">
        <f t="shared" si="11"/>
        <v>75.938283993978928</v>
      </c>
      <c r="AI11" s="19">
        <f t="shared" si="12"/>
        <v>0</v>
      </c>
      <c r="AJ11" s="19">
        <f t="shared" si="5"/>
        <v>0.2732271700953337</v>
      </c>
      <c r="AK11" s="19">
        <f t="shared" si="6"/>
        <v>0.11287742097340693</v>
      </c>
      <c r="AL11" s="19">
        <f t="shared" si="13"/>
        <v>25.186904164576017</v>
      </c>
      <c r="AN11" t="s">
        <v>100</v>
      </c>
      <c r="AO11" s="9">
        <v>0.2242253637732062</v>
      </c>
      <c r="AP11" s="9">
        <v>0.2732271700953337</v>
      </c>
      <c r="AQ11" s="9">
        <v>0.11287742097340693</v>
      </c>
      <c r="AR11" s="9">
        <v>0.2242253637732062</v>
      </c>
      <c r="AS11" s="9">
        <v>0.2732271700953337</v>
      </c>
      <c r="AT11" s="9">
        <v>0.11287742097340693</v>
      </c>
      <c r="AU11" s="51">
        <v>-4.8400000000000034</v>
      </c>
      <c r="AV11" s="47">
        <v>23</v>
      </c>
      <c r="AW11" s="51">
        <v>3</v>
      </c>
    </row>
    <row r="12" spans="1:49" x14ac:dyDescent="0.2">
      <c r="A12" s="32">
        <v>5</v>
      </c>
      <c r="B12" s="32" t="s">
        <v>121</v>
      </c>
      <c r="C12" s="32"/>
      <c r="D12" s="33">
        <v>1</v>
      </c>
      <c r="E12" s="34">
        <v>5</v>
      </c>
      <c r="F12" s="33" t="s">
        <v>100</v>
      </c>
      <c r="G12" s="33" t="s">
        <v>117</v>
      </c>
      <c r="H12" s="1">
        <v>1</v>
      </c>
      <c r="I12" s="1">
        <v>9</v>
      </c>
      <c r="J12" s="7">
        <v>0.20169999999999999</v>
      </c>
      <c r="K12" s="1">
        <v>25</v>
      </c>
      <c r="L12" s="54">
        <f t="shared" si="7"/>
        <v>8.0679999999999996</v>
      </c>
      <c r="M12" s="8" t="s">
        <v>31</v>
      </c>
      <c r="N12" s="9">
        <v>6.0449999999999997E-2</v>
      </c>
      <c r="O12" s="9">
        <v>4.419E-2</v>
      </c>
      <c r="P12" s="9">
        <v>19.443999999999999</v>
      </c>
      <c r="Q12" s="9">
        <v>7.0309999999999997E-2</v>
      </c>
      <c r="R12" s="9">
        <v>0.4531</v>
      </c>
      <c r="S12" s="9">
        <v>233.9</v>
      </c>
      <c r="T12" s="9">
        <v>23.213999999999999</v>
      </c>
      <c r="U12" s="9">
        <v>0.7026</v>
      </c>
      <c r="V12" s="9">
        <v>0</v>
      </c>
      <c r="W12" s="9">
        <v>24.402999999999999</v>
      </c>
      <c r="X12" s="9">
        <v>12.519</v>
      </c>
      <c r="Y12" s="9">
        <v>0.32912999999999998</v>
      </c>
      <c r="AA12" s="19">
        <f t="shared" si="0"/>
        <v>7.4925632126921169</v>
      </c>
      <c r="AB12" s="19">
        <f t="shared" si="8"/>
        <v>5.4771938522558257</v>
      </c>
      <c r="AC12" s="19">
        <f t="shared" si="2"/>
        <v>0.24083101140307389</v>
      </c>
      <c r="AD12" s="19">
        <f t="shared" si="9"/>
        <v>8.7146752602875566</v>
      </c>
      <c r="AE12" s="19">
        <f t="shared" si="10"/>
        <v>55.766484878532481</v>
      </c>
      <c r="AF12" s="19">
        <f t="shared" si="3"/>
        <v>2.8980461576598908</v>
      </c>
      <c r="AG12" s="19">
        <f t="shared" si="4"/>
        <v>0.287729300941993</v>
      </c>
      <c r="AH12" s="19">
        <f t="shared" si="11"/>
        <v>87.084779375309878</v>
      </c>
      <c r="AI12" s="19">
        <f t="shared" si="12"/>
        <v>0</v>
      </c>
      <c r="AJ12" s="19">
        <f t="shared" si="5"/>
        <v>0.301904685176004</v>
      </c>
      <c r="AK12" s="19">
        <f t="shared" si="6"/>
        <v>0.15381740208230046</v>
      </c>
      <c r="AL12" s="19">
        <f t="shared" si="13"/>
        <v>40.794496777392162</v>
      </c>
      <c r="AN12" t="s">
        <v>100</v>
      </c>
      <c r="AO12" s="9">
        <v>0.24083101140307389</v>
      </c>
      <c r="AP12" s="9">
        <v>0.301904685176004</v>
      </c>
      <c r="AQ12" s="9">
        <v>0.15381740208230046</v>
      </c>
      <c r="AU12" s="29">
        <v>212.39999999999998</v>
      </c>
      <c r="AV12" s="29">
        <v>45</v>
      </c>
      <c r="AW12" s="29">
        <v>25</v>
      </c>
    </row>
    <row r="13" spans="1:49" x14ac:dyDescent="0.2">
      <c r="A13" s="32">
        <v>5</v>
      </c>
      <c r="B13" s="32" t="s">
        <v>122</v>
      </c>
      <c r="C13" s="32"/>
      <c r="D13" s="33">
        <v>1</v>
      </c>
      <c r="E13" s="34">
        <v>5</v>
      </c>
      <c r="F13" s="33" t="s">
        <v>100</v>
      </c>
      <c r="G13" s="33" t="s">
        <v>117</v>
      </c>
      <c r="H13" s="1">
        <v>2</v>
      </c>
      <c r="I13" s="1">
        <v>10</v>
      </c>
      <c r="J13" s="7">
        <v>0.1993</v>
      </c>
      <c r="K13" s="1">
        <v>25</v>
      </c>
      <c r="L13" s="54">
        <f t="shared" si="7"/>
        <v>7.9720000000000004</v>
      </c>
      <c r="M13" s="8" t="s">
        <v>32</v>
      </c>
      <c r="N13" s="9">
        <v>0.19858000000000001</v>
      </c>
      <c r="O13" s="9">
        <v>4.4339999999999997E-2</v>
      </c>
      <c r="P13" s="9">
        <v>22.888000000000002</v>
      </c>
      <c r="Q13" s="9">
        <v>7.2139999999999996E-2</v>
      </c>
      <c r="R13" s="9">
        <v>0.84231</v>
      </c>
      <c r="S13" s="9">
        <v>248.15</v>
      </c>
      <c r="T13" s="9">
        <v>24.768000000000001</v>
      </c>
      <c r="U13" s="9">
        <v>0.82386999999999999</v>
      </c>
      <c r="V13" s="9">
        <v>0</v>
      </c>
      <c r="W13" s="9">
        <v>28.658999999999999</v>
      </c>
      <c r="X13" s="9">
        <v>13.864000000000001</v>
      </c>
      <c r="Y13" s="9">
        <v>0.27467999999999998</v>
      </c>
      <c r="AA13" s="19">
        <f t="shared" si="0"/>
        <v>24.909683893627697</v>
      </c>
      <c r="AB13" s="19">
        <f t="shared" si="8"/>
        <v>5.5619668840943302</v>
      </c>
      <c r="AC13" s="19">
        <f t="shared" si="2"/>
        <v>0.28693233818364278</v>
      </c>
      <c r="AD13" s="19">
        <f t="shared" si="9"/>
        <v>9.0491721023582539</v>
      </c>
      <c r="AE13" s="19">
        <f t="shared" si="10"/>
        <v>105.26016056196687</v>
      </c>
      <c r="AF13" s="19">
        <f t="shared" si="3"/>
        <v>3.1116954841946813</v>
      </c>
      <c r="AG13" s="19">
        <f t="shared" si="4"/>
        <v>0.31068740592072253</v>
      </c>
      <c r="AH13" s="19">
        <f t="shared" si="11"/>
        <v>103.34545910687406</v>
      </c>
      <c r="AI13" s="19">
        <f t="shared" si="12"/>
        <v>0</v>
      </c>
      <c r="AJ13" s="19">
        <f t="shared" si="5"/>
        <v>0.35892711991971904</v>
      </c>
      <c r="AK13" s="19">
        <f t="shared" si="6"/>
        <v>0.17254124435524337</v>
      </c>
      <c r="AL13" s="19">
        <f t="shared" si="13"/>
        <v>34.455594581033615</v>
      </c>
      <c r="AN13" t="s">
        <v>100</v>
      </c>
      <c r="AO13" s="9">
        <v>0.28693233818364278</v>
      </c>
      <c r="AP13" s="9">
        <v>0.35892711991971904</v>
      </c>
      <c r="AQ13" s="9">
        <v>0.17254124435524337</v>
      </c>
      <c r="AU13" s="29">
        <v>-9.9200000000000017</v>
      </c>
      <c r="AV13" s="29">
        <v>49</v>
      </c>
      <c r="AW13" s="29">
        <v>29</v>
      </c>
    </row>
    <row r="14" spans="1:49" s="11" customFormat="1" x14ac:dyDescent="0.2">
      <c r="A14" s="32">
        <v>6</v>
      </c>
      <c r="B14" s="32" t="s">
        <v>123</v>
      </c>
      <c r="C14" s="32"/>
      <c r="D14" s="33">
        <v>1</v>
      </c>
      <c r="E14" s="34">
        <v>6</v>
      </c>
      <c r="F14" s="33" t="s">
        <v>91</v>
      </c>
      <c r="G14" s="33" t="s">
        <v>115</v>
      </c>
      <c r="H14" s="12">
        <v>1</v>
      </c>
      <c r="I14" s="12">
        <v>11</v>
      </c>
      <c r="J14" s="13">
        <v>0.2</v>
      </c>
      <c r="K14" s="12">
        <v>25</v>
      </c>
      <c r="L14" s="54">
        <f t="shared" si="7"/>
        <v>8</v>
      </c>
      <c r="M14" s="14" t="s">
        <v>33</v>
      </c>
      <c r="N14" s="15">
        <v>0.13549</v>
      </c>
      <c r="O14" s="15">
        <v>0.26732</v>
      </c>
      <c r="P14" s="15">
        <v>109.27</v>
      </c>
      <c r="Q14" s="15">
        <v>6.2089999999999999E-2</v>
      </c>
      <c r="R14" s="15">
        <v>0.47027000000000002</v>
      </c>
      <c r="S14" s="15">
        <v>153.84</v>
      </c>
      <c r="T14" s="15">
        <v>37.031999999999996</v>
      </c>
      <c r="U14" s="15">
        <v>0.89527999999999996</v>
      </c>
      <c r="V14" s="15">
        <v>0</v>
      </c>
      <c r="W14" s="15">
        <v>45.430999999999997</v>
      </c>
      <c r="X14" s="15">
        <v>18.713000000000001</v>
      </c>
      <c r="Y14" s="15">
        <v>0.30088999999999999</v>
      </c>
      <c r="AA14" s="20">
        <f t="shared" si="0"/>
        <v>16.936249999999998</v>
      </c>
      <c r="AB14" s="20">
        <f t="shared" si="8"/>
        <v>33.414999999999999</v>
      </c>
      <c r="AC14" s="20">
        <f t="shared" si="2"/>
        <v>1.3657030749999999</v>
      </c>
      <c r="AD14" s="20">
        <f t="shared" si="9"/>
        <v>7.7612499999999995</v>
      </c>
      <c r="AE14" s="20">
        <f t="shared" si="10"/>
        <v>58.386749999999999</v>
      </c>
      <c r="AF14" s="20">
        <f t="shared" si="3"/>
        <v>1.92192955</v>
      </c>
      <c r="AG14" s="20">
        <f t="shared" si="4"/>
        <v>0.46289999999999992</v>
      </c>
      <c r="AH14" s="20">
        <f t="shared" si="11"/>
        <v>111.90999999999998</v>
      </c>
      <c r="AI14" s="20">
        <f t="shared" si="12"/>
        <v>0</v>
      </c>
      <c r="AJ14" s="20">
        <f t="shared" si="5"/>
        <v>0.56732087499999984</v>
      </c>
      <c r="AK14" s="20">
        <f t="shared" si="6"/>
        <v>0.23254985</v>
      </c>
      <c r="AL14" s="20">
        <f t="shared" si="13"/>
        <v>37.611249999999998</v>
      </c>
      <c r="AN14" s="11" t="s">
        <v>91</v>
      </c>
      <c r="AO14" s="15">
        <v>1.3657030749999999</v>
      </c>
      <c r="AP14" s="15">
        <v>0.56732087499999984</v>
      </c>
      <c r="AQ14" s="15">
        <v>0.23254985</v>
      </c>
      <c r="AU14" s="29">
        <v>194.96</v>
      </c>
      <c r="AV14" s="29">
        <v>13</v>
      </c>
      <c r="AW14" s="29">
        <v>-7</v>
      </c>
    </row>
    <row r="15" spans="1:49" s="11" customFormat="1" x14ac:dyDescent="0.2">
      <c r="A15" s="32">
        <v>6</v>
      </c>
      <c r="B15" s="32" t="s">
        <v>124</v>
      </c>
      <c r="C15" s="32"/>
      <c r="D15" s="33">
        <v>1</v>
      </c>
      <c r="E15" s="34">
        <v>6</v>
      </c>
      <c r="F15" s="33" t="s">
        <v>91</v>
      </c>
      <c r="G15" s="33" t="s">
        <v>115</v>
      </c>
      <c r="H15" s="12">
        <v>2</v>
      </c>
      <c r="I15" s="12">
        <v>12</v>
      </c>
      <c r="J15" s="13">
        <v>0.20119999999999999</v>
      </c>
      <c r="K15" s="12">
        <v>25</v>
      </c>
      <c r="L15" s="54">
        <f t="shared" si="7"/>
        <v>8.048</v>
      </c>
      <c r="M15" s="14" t="s">
        <v>34</v>
      </c>
      <c r="N15" s="15">
        <v>0.18454999999999999</v>
      </c>
      <c r="O15" s="15">
        <v>0.29491000000000001</v>
      </c>
      <c r="P15" s="15">
        <v>114.83</v>
      </c>
      <c r="Q15" s="15">
        <v>5.3400000000000003E-2</v>
      </c>
      <c r="R15" s="15">
        <v>0.54418</v>
      </c>
      <c r="S15" s="15">
        <v>151.07</v>
      </c>
      <c r="T15" s="15">
        <v>39.673000000000002</v>
      </c>
      <c r="U15" s="15">
        <v>0.93906999999999996</v>
      </c>
      <c r="V15" s="15">
        <v>0</v>
      </c>
      <c r="W15" s="15">
        <v>44.776000000000003</v>
      </c>
      <c r="X15" s="15">
        <v>20.324999999999999</v>
      </c>
      <c r="Y15" s="15">
        <v>0.37402000000000002</v>
      </c>
      <c r="AA15" s="20">
        <f t="shared" si="0"/>
        <v>22.931163021868787</v>
      </c>
      <c r="AB15" s="20">
        <f t="shared" si="8"/>
        <v>36.643886679920477</v>
      </c>
      <c r="AC15" s="20">
        <f t="shared" si="2"/>
        <v>1.4266432157057654</v>
      </c>
      <c r="AD15" s="20">
        <f t="shared" si="9"/>
        <v>6.6351888667992052</v>
      </c>
      <c r="AE15" s="20">
        <f t="shared" si="10"/>
        <v>67.222166998011929</v>
      </c>
      <c r="AF15" s="20">
        <f t="shared" si="3"/>
        <v>1.876048260437376</v>
      </c>
      <c r="AG15" s="20">
        <f t="shared" si="4"/>
        <v>0.49295477137176941</v>
      </c>
      <c r="AH15" s="20">
        <f t="shared" si="11"/>
        <v>116.683648111332</v>
      </c>
      <c r="AI15" s="20">
        <f t="shared" si="12"/>
        <v>0</v>
      </c>
      <c r="AJ15" s="20">
        <f t="shared" si="5"/>
        <v>0.55579858349900602</v>
      </c>
      <c r="AK15" s="20">
        <f t="shared" si="6"/>
        <v>0.25119269383697818</v>
      </c>
      <c r="AL15" s="20">
        <f t="shared" si="13"/>
        <v>46.473658051689867</v>
      </c>
      <c r="AN15" s="11" t="s">
        <v>91</v>
      </c>
      <c r="AO15" s="15">
        <v>1.4266432157057654</v>
      </c>
      <c r="AP15" s="15">
        <v>0.55579858349900602</v>
      </c>
      <c r="AQ15" s="15">
        <v>0.25119269383697818</v>
      </c>
      <c r="AU15" s="29">
        <v>21.959999999999994</v>
      </c>
      <c r="AV15" s="29">
        <v>63</v>
      </c>
      <c r="AW15" s="29">
        <v>43</v>
      </c>
    </row>
    <row r="16" spans="1:49" s="11" customFormat="1" x14ac:dyDescent="0.2">
      <c r="A16" s="32">
        <v>7</v>
      </c>
      <c r="B16" s="32" t="s">
        <v>125</v>
      </c>
      <c r="C16" s="32"/>
      <c r="D16" s="33">
        <v>1</v>
      </c>
      <c r="E16" s="34">
        <v>7</v>
      </c>
      <c r="F16" s="33" t="s">
        <v>91</v>
      </c>
      <c r="G16" s="33" t="s">
        <v>117</v>
      </c>
      <c r="H16" s="12">
        <v>1</v>
      </c>
      <c r="I16" s="12">
        <v>13</v>
      </c>
      <c r="J16" s="13">
        <v>0.1993</v>
      </c>
      <c r="K16" s="12">
        <v>25</v>
      </c>
      <c r="L16" s="54">
        <f t="shared" si="7"/>
        <v>7.9720000000000004</v>
      </c>
      <c r="M16" s="14" t="s">
        <v>35</v>
      </c>
      <c r="N16" s="15">
        <v>0.16105</v>
      </c>
      <c r="O16" s="15">
        <v>0.27151999999999998</v>
      </c>
      <c r="P16" s="15">
        <v>98.710999999999999</v>
      </c>
      <c r="Q16" s="15">
        <v>5.7849999999999999E-2</v>
      </c>
      <c r="R16" s="15">
        <v>0.44672000000000001</v>
      </c>
      <c r="S16" s="15">
        <v>139.65</v>
      </c>
      <c r="T16" s="15">
        <v>40.21</v>
      </c>
      <c r="U16" s="15">
        <v>0.71050999999999997</v>
      </c>
      <c r="V16" s="15">
        <v>0</v>
      </c>
      <c r="W16" s="15">
        <v>45.543999999999997</v>
      </c>
      <c r="X16" s="15">
        <v>19.353999999999999</v>
      </c>
      <c r="Y16" s="15">
        <v>0.33650000000000002</v>
      </c>
      <c r="AA16" s="20">
        <f t="shared" si="0"/>
        <v>20.201956848971399</v>
      </c>
      <c r="AB16" s="20">
        <f t="shared" si="8"/>
        <v>34.059207225288503</v>
      </c>
      <c r="AC16" s="20">
        <f t="shared" si="2"/>
        <v>1.2380487456096336</v>
      </c>
      <c r="AD16" s="20">
        <f t="shared" si="9"/>
        <v>7.2566482689412943</v>
      </c>
      <c r="AE16" s="20">
        <f t="shared" si="10"/>
        <v>55.637732062217758</v>
      </c>
      <c r="AF16" s="20">
        <f t="shared" si="3"/>
        <v>1.7506819367787254</v>
      </c>
      <c r="AG16" s="20">
        <f t="shared" si="4"/>
        <v>0.50439036628198697</v>
      </c>
      <c r="AH16" s="20">
        <f t="shared" si="11"/>
        <v>89.125689914701454</v>
      </c>
      <c r="AI16" s="20">
        <f t="shared" si="12"/>
        <v>0</v>
      </c>
      <c r="AJ16" s="20">
        <f t="shared" si="5"/>
        <v>0.57073093326643243</v>
      </c>
      <c r="AK16" s="20">
        <f t="shared" si="6"/>
        <v>0.24140727546412441</v>
      </c>
      <c r="AL16" s="20">
        <f t="shared" si="13"/>
        <v>42.210235825388864</v>
      </c>
      <c r="AN16" s="11" t="s">
        <v>91</v>
      </c>
      <c r="AO16" s="15">
        <v>1.2380487456096336</v>
      </c>
      <c r="AP16" s="15">
        <v>0.57073093326643243</v>
      </c>
      <c r="AQ16" s="15">
        <v>0.24140727546412441</v>
      </c>
      <c r="AU16" s="29">
        <v>-27.92</v>
      </c>
      <c r="AV16" s="29">
        <v>74</v>
      </c>
      <c r="AW16" s="29">
        <v>54</v>
      </c>
    </row>
    <row r="17" spans="1:49" x14ac:dyDescent="0.2">
      <c r="A17" s="32">
        <v>7</v>
      </c>
      <c r="B17" s="32" t="s">
        <v>126</v>
      </c>
      <c r="C17" s="32"/>
      <c r="D17" s="33">
        <v>1</v>
      </c>
      <c r="E17" s="34">
        <v>7</v>
      </c>
      <c r="F17" s="33" t="s">
        <v>91</v>
      </c>
      <c r="G17" s="33" t="s">
        <v>117</v>
      </c>
      <c r="H17" s="1">
        <v>2</v>
      </c>
      <c r="I17" s="1">
        <v>16</v>
      </c>
      <c r="J17" s="7">
        <v>0.20169999999999999</v>
      </c>
      <c r="K17" s="1">
        <v>25</v>
      </c>
      <c r="L17" s="54">
        <f t="shared" si="7"/>
        <v>8.0679999999999996</v>
      </c>
      <c r="M17" s="8" t="s">
        <v>38</v>
      </c>
      <c r="N17" s="9">
        <v>0.25696999999999998</v>
      </c>
      <c r="O17" s="9">
        <v>0.30915999999999999</v>
      </c>
      <c r="P17" s="9">
        <v>116.76</v>
      </c>
      <c r="Q17" s="9">
        <v>7.8990000000000005E-2</v>
      </c>
      <c r="R17" s="9">
        <v>0.52600000000000002</v>
      </c>
      <c r="S17" s="9">
        <v>113.9</v>
      </c>
      <c r="T17" s="9">
        <v>40.686999999999998</v>
      </c>
      <c r="U17" s="9">
        <v>1.2546999999999999</v>
      </c>
      <c r="V17" s="9">
        <v>0</v>
      </c>
      <c r="W17" s="9">
        <v>37.914000000000001</v>
      </c>
      <c r="X17" s="9">
        <v>18.718</v>
      </c>
      <c r="Y17" s="9">
        <v>0.43876999999999999</v>
      </c>
      <c r="AA17" s="19">
        <f t="shared" si="0"/>
        <v>31.850520575111553</v>
      </c>
      <c r="AB17" s="19">
        <f t="shared" si="8"/>
        <v>38.319286068418442</v>
      </c>
      <c r="AC17" s="19">
        <f t="shared" si="2"/>
        <v>1.447028334159643</v>
      </c>
      <c r="AD17" s="19">
        <f t="shared" si="9"/>
        <v>9.7905304908279636</v>
      </c>
      <c r="AE17" s="19">
        <f t="shared" si="10"/>
        <v>64.802181457610317</v>
      </c>
      <c r="AF17" s="19">
        <f t="shared" si="3"/>
        <v>1.4106886960832923</v>
      </c>
      <c r="AG17" s="19">
        <f t="shared" si="4"/>
        <v>0.50430094199305908</v>
      </c>
      <c r="AH17" s="19">
        <f t="shared" si="11"/>
        <v>155.51561725334656</v>
      </c>
      <c r="AI17" s="19">
        <f t="shared" si="12"/>
        <v>0</v>
      </c>
      <c r="AJ17" s="19">
        <f t="shared" si="5"/>
        <v>0.46936874070401591</v>
      </c>
      <c r="AK17" s="19">
        <f t="shared" si="6"/>
        <v>0.23065180961824494</v>
      </c>
      <c r="AL17" s="19">
        <f t="shared" si="13"/>
        <v>54.383986117997033</v>
      </c>
      <c r="AN17" s="11" t="s">
        <v>91</v>
      </c>
      <c r="AO17" s="9">
        <v>1.447028334159643</v>
      </c>
      <c r="AP17" s="9">
        <v>0.46936874070401591</v>
      </c>
      <c r="AQ17" s="9">
        <v>0.23065180961824494</v>
      </c>
      <c r="AU17" s="51">
        <f t="shared" ref="AU17" si="14">(AT17-(0.08*AV17))-52</f>
        <v>-58.4</v>
      </c>
      <c r="AV17" s="47">
        <v>80</v>
      </c>
      <c r="AW17" s="51">
        <f t="shared" ref="AW17" si="15">AV17-20</f>
        <v>60</v>
      </c>
    </row>
    <row r="18" spans="1:49" ht="15" x14ac:dyDescent="0.25">
      <c r="A18" s="37">
        <v>8</v>
      </c>
      <c r="B18" s="32" t="s">
        <v>260</v>
      </c>
      <c r="C18" s="32"/>
      <c r="D18" s="33">
        <v>2</v>
      </c>
      <c r="E18" s="34">
        <v>1</v>
      </c>
      <c r="F18" s="33" t="s">
        <v>91</v>
      </c>
      <c r="G18" s="33" t="s">
        <v>115</v>
      </c>
      <c r="H18" s="1">
        <v>1</v>
      </c>
      <c r="I18" s="1">
        <v>17</v>
      </c>
      <c r="J18" s="7">
        <v>0.19939999999999999</v>
      </c>
      <c r="K18" s="1">
        <v>25</v>
      </c>
      <c r="L18" s="54">
        <f t="shared" si="7"/>
        <v>7.976</v>
      </c>
      <c r="M18" s="8" t="s">
        <v>39</v>
      </c>
      <c r="N18" s="9">
        <v>0.2409</v>
      </c>
      <c r="O18" s="9">
        <v>0.33222000000000002</v>
      </c>
      <c r="P18" s="9">
        <v>104.97</v>
      </c>
      <c r="Q18" s="9">
        <v>4.5039999999999997E-2</v>
      </c>
      <c r="R18" s="9">
        <v>0.59026000000000001</v>
      </c>
      <c r="S18" s="9">
        <v>158.66</v>
      </c>
      <c r="T18" s="9">
        <v>40.465000000000003</v>
      </c>
      <c r="U18" s="9">
        <v>0.93067</v>
      </c>
      <c r="V18" s="9">
        <v>1.5270000000000001E-2</v>
      </c>
      <c r="W18" s="9">
        <v>39.354999999999997</v>
      </c>
      <c r="X18" s="9">
        <v>22.067</v>
      </c>
      <c r="Y18" s="9">
        <v>0.34864000000000001</v>
      </c>
      <c r="AA18" s="19">
        <f t="shared" si="0"/>
        <v>30.203109327983952</v>
      </c>
      <c r="AB18" s="19">
        <f t="shared" si="8"/>
        <v>41.652457372116352</v>
      </c>
      <c r="AC18" s="19">
        <f t="shared" si="2"/>
        <v>1.315900777331996</v>
      </c>
      <c r="AD18" s="19">
        <f t="shared" si="9"/>
        <v>5.6469408224674016</v>
      </c>
      <c r="AE18" s="19">
        <f t="shared" si="10"/>
        <v>73.606318956870624</v>
      </c>
      <c r="AF18" s="19">
        <f t="shared" si="3"/>
        <v>1.9881439819458377</v>
      </c>
      <c r="AG18" s="19">
        <f t="shared" si="4"/>
        <v>0.50733450351053166</v>
      </c>
      <c r="AH18" s="19">
        <f t="shared" si="11"/>
        <v>116.68380140421263</v>
      </c>
      <c r="AI18" s="19">
        <f t="shared" si="12"/>
        <v>1.9144934804413243</v>
      </c>
      <c r="AJ18" s="19">
        <f t="shared" si="5"/>
        <v>0.49284942326980935</v>
      </c>
      <c r="AK18" s="19">
        <f t="shared" si="6"/>
        <v>0.27530075225677031</v>
      </c>
      <c r="AL18" s="19">
        <f t="shared" si="13"/>
        <v>43.711133400200602</v>
      </c>
      <c r="AN18" s="11" t="s">
        <v>91</v>
      </c>
      <c r="AO18" s="9">
        <v>1.315900777331996</v>
      </c>
      <c r="AP18" s="9">
        <v>0.49284942326980935</v>
      </c>
      <c r="AQ18" s="9">
        <v>0.27530075225677031</v>
      </c>
      <c r="AR18" s="9">
        <v>1.315900777331996</v>
      </c>
      <c r="AS18" s="9">
        <v>0.49284942326980935</v>
      </c>
      <c r="AT18" s="9">
        <v>0.27530075225677031</v>
      </c>
      <c r="AU18" s="29">
        <v>-12.759999999999998</v>
      </c>
      <c r="AV18" s="29">
        <v>97</v>
      </c>
      <c r="AW18" s="29">
        <v>77</v>
      </c>
    </row>
    <row r="19" spans="1:49" ht="15" x14ac:dyDescent="0.25">
      <c r="A19" s="32">
        <v>8</v>
      </c>
      <c r="B19" s="32" t="s">
        <v>261</v>
      </c>
      <c r="C19" s="32"/>
      <c r="D19" s="33">
        <v>2</v>
      </c>
      <c r="E19" s="34">
        <v>1</v>
      </c>
      <c r="F19" s="33" t="s">
        <v>100</v>
      </c>
      <c r="G19" s="33" t="s">
        <v>117</v>
      </c>
      <c r="H19" s="1">
        <v>2</v>
      </c>
      <c r="I19" s="1">
        <v>18</v>
      </c>
      <c r="J19" s="7">
        <v>0.2011</v>
      </c>
      <c r="K19" s="1">
        <v>25</v>
      </c>
      <c r="L19" s="54">
        <f t="shared" si="7"/>
        <v>8.0440000000000005</v>
      </c>
      <c r="M19" s="8" t="s">
        <v>40</v>
      </c>
      <c r="N19" s="9">
        <v>0.13441</v>
      </c>
      <c r="O19" s="9">
        <v>5.0900000000000001E-2</v>
      </c>
      <c r="P19" s="9">
        <v>24.613</v>
      </c>
      <c r="Q19" s="9">
        <v>6.08E-2</v>
      </c>
      <c r="R19" s="9">
        <v>0.53249999999999997</v>
      </c>
      <c r="S19" s="9">
        <v>265.33999999999997</v>
      </c>
      <c r="T19" s="9">
        <v>24.786999999999999</v>
      </c>
      <c r="U19" s="9">
        <v>0.71489999999999998</v>
      </c>
      <c r="V19" s="9">
        <v>0</v>
      </c>
      <c r="W19" s="9">
        <v>28.98</v>
      </c>
      <c r="X19" s="9">
        <v>12.694000000000001</v>
      </c>
      <c r="Y19" s="9">
        <v>0.22674</v>
      </c>
      <c r="AA19" s="19">
        <f t="shared" si="0"/>
        <v>16.709348582794629</v>
      </c>
      <c r="AB19" s="19">
        <f t="shared" si="8"/>
        <v>6.3276976628543009</v>
      </c>
      <c r="AC19" s="19">
        <f t="shared" si="2"/>
        <v>0.30580862754848337</v>
      </c>
      <c r="AD19" s="19">
        <f t="shared" si="9"/>
        <v>7.5584286424664349</v>
      </c>
      <c r="AE19" s="19">
        <f t="shared" si="10"/>
        <v>65.803580308304333</v>
      </c>
      <c r="AF19" s="19">
        <f t="shared" si="3"/>
        <v>3.2975430631526601</v>
      </c>
      <c r="AG19" s="19">
        <f t="shared" si="4"/>
        <v>0.30814271506713076</v>
      </c>
      <c r="AH19" s="19">
        <f t="shared" si="11"/>
        <v>88.873694679264034</v>
      </c>
      <c r="AI19" s="19">
        <f t="shared" si="12"/>
        <v>0</v>
      </c>
      <c r="AJ19" s="19">
        <f t="shared" si="5"/>
        <v>0.3597049975136748</v>
      </c>
      <c r="AK19" s="19">
        <f t="shared" si="6"/>
        <v>0.15645186474390851</v>
      </c>
      <c r="AL19" s="19">
        <f t="shared" si="13"/>
        <v>28.187468920934858</v>
      </c>
      <c r="AN19" s="11" t="s">
        <v>100</v>
      </c>
      <c r="AO19" s="9">
        <v>0.30580862754848337</v>
      </c>
      <c r="AP19" s="9">
        <v>0.3597049975136748</v>
      </c>
      <c r="AQ19" s="9">
        <v>0.15645186474390851</v>
      </c>
      <c r="AR19" s="9">
        <v>0.30580862754848337</v>
      </c>
      <c r="AS19" s="9">
        <v>0.3597049975136748</v>
      </c>
      <c r="AT19" s="9">
        <v>0.15645186474390851</v>
      </c>
      <c r="AU19" s="29">
        <v>253</v>
      </c>
      <c r="AV19" s="29">
        <v>0</v>
      </c>
      <c r="AW19" s="29">
        <v>-20</v>
      </c>
    </row>
    <row r="20" spans="1:49" ht="15" x14ac:dyDescent="0.25">
      <c r="A20" s="32">
        <v>9</v>
      </c>
      <c r="B20" s="32" t="s">
        <v>262</v>
      </c>
      <c r="C20" s="32"/>
      <c r="D20" s="33">
        <v>2</v>
      </c>
      <c r="E20" s="34">
        <v>2</v>
      </c>
      <c r="F20" s="33" t="s">
        <v>91</v>
      </c>
      <c r="G20" s="33" t="s">
        <v>117</v>
      </c>
      <c r="H20" s="1">
        <v>1</v>
      </c>
      <c r="I20" s="1">
        <v>19</v>
      </c>
      <c r="J20" s="7">
        <v>0.1991</v>
      </c>
      <c r="K20" s="1">
        <v>25</v>
      </c>
      <c r="L20" s="54">
        <f t="shared" si="7"/>
        <v>7.9639999999999995</v>
      </c>
      <c r="M20" s="8" t="s">
        <v>41</v>
      </c>
      <c r="N20" s="9">
        <v>0.20679</v>
      </c>
      <c r="O20" s="9">
        <v>0.29115999999999997</v>
      </c>
      <c r="P20" s="9">
        <v>114.48</v>
      </c>
      <c r="Q20" s="9">
        <v>6.2640000000000001E-2</v>
      </c>
      <c r="R20" s="9">
        <v>0.51951999999999998</v>
      </c>
      <c r="S20" s="9">
        <v>138.77000000000001</v>
      </c>
      <c r="T20" s="9">
        <v>40.978000000000002</v>
      </c>
      <c r="U20" s="9">
        <v>0.87812999999999997</v>
      </c>
      <c r="V20" s="9">
        <v>0</v>
      </c>
      <c r="W20" s="9">
        <v>45.78</v>
      </c>
      <c r="X20" s="9">
        <v>19.678000000000001</v>
      </c>
      <c r="Y20" s="9">
        <v>0.35559000000000002</v>
      </c>
      <c r="AA20" s="19">
        <f t="shared" si="0"/>
        <v>25.965595178302358</v>
      </c>
      <c r="AB20" s="19">
        <f t="shared" si="8"/>
        <v>36.559517830236061</v>
      </c>
      <c r="AC20" s="19">
        <f t="shared" si="2"/>
        <v>1.4372959065796083</v>
      </c>
      <c r="AD20" s="19">
        <f t="shared" si="9"/>
        <v>7.8653942742340535</v>
      </c>
      <c r="AE20" s="19">
        <f t="shared" si="10"/>
        <v>64.834756403817181</v>
      </c>
      <c r="AF20" s="19">
        <f t="shared" si="3"/>
        <v>1.7413908086388754</v>
      </c>
      <c r="AG20" s="19">
        <f t="shared" si="4"/>
        <v>0.51454043194374688</v>
      </c>
      <c r="AH20" s="19">
        <f t="shared" si="11"/>
        <v>110.26243093922652</v>
      </c>
      <c r="AI20" s="19">
        <f t="shared" si="12"/>
        <v>0</v>
      </c>
      <c r="AJ20" s="19">
        <f t="shared" si="5"/>
        <v>0.57426757910597692</v>
      </c>
      <c r="AK20" s="19">
        <f t="shared" si="6"/>
        <v>0.24571808136614767</v>
      </c>
      <c r="AL20" s="19">
        <f t="shared" si="13"/>
        <v>44.649673530889004</v>
      </c>
      <c r="AN20" s="11" t="s">
        <v>91</v>
      </c>
      <c r="AO20" s="9">
        <v>1.4372959065796083</v>
      </c>
      <c r="AP20" s="9">
        <v>0.57426757910597692</v>
      </c>
      <c r="AQ20" s="9">
        <v>0.24571808136614767</v>
      </c>
      <c r="AR20" s="9">
        <v>1.4372959065796083</v>
      </c>
      <c r="AS20" s="9">
        <v>0.57426757910597692</v>
      </c>
      <c r="AT20" s="9">
        <v>0.24571808136614767</v>
      </c>
      <c r="AU20" s="29">
        <v>317.76</v>
      </c>
      <c r="AV20" s="29">
        <v>3</v>
      </c>
      <c r="AW20" s="29">
        <v>-17</v>
      </c>
    </row>
    <row r="21" spans="1:49" ht="15" x14ac:dyDescent="0.25">
      <c r="A21" s="32">
        <v>9</v>
      </c>
      <c r="B21" s="32" t="s">
        <v>130</v>
      </c>
      <c r="C21" s="32"/>
      <c r="D21" s="33">
        <v>2</v>
      </c>
      <c r="E21" s="34">
        <v>2</v>
      </c>
      <c r="F21" s="33" t="s">
        <v>100</v>
      </c>
      <c r="G21" s="33" t="s">
        <v>117</v>
      </c>
      <c r="H21" s="1">
        <v>2</v>
      </c>
      <c r="I21" s="1">
        <v>20</v>
      </c>
      <c r="J21" s="7">
        <v>0.19989999999999999</v>
      </c>
      <c r="K21" s="1">
        <v>25</v>
      </c>
      <c r="L21" s="54">
        <f t="shared" si="7"/>
        <v>7.9960000000000004</v>
      </c>
      <c r="M21" s="8" t="s">
        <v>42</v>
      </c>
      <c r="N21" s="9">
        <v>0.11808</v>
      </c>
      <c r="O21" s="9">
        <v>3.9649999999999998E-2</v>
      </c>
      <c r="P21" s="9">
        <v>23.893999999999998</v>
      </c>
      <c r="Q21" s="9">
        <v>8.1759999999999999E-2</v>
      </c>
      <c r="R21" s="9">
        <v>0.81666000000000005</v>
      </c>
      <c r="S21" s="9">
        <v>242.68</v>
      </c>
      <c r="T21" s="9">
        <v>28.556999999999999</v>
      </c>
      <c r="U21" s="9">
        <v>0.96952000000000005</v>
      </c>
      <c r="V21" s="9">
        <v>0</v>
      </c>
      <c r="W21" s="9">
        <v>35.515999999999998</v>
      </c>
      <c r="X21" s="9">
        <v>17.018999999999998</v>
      </c>
      <c r="Y21" s="9">
        <v>0.49364999999999998</v>
      </c>
      <c r="AA21" s="19">
        <f t="shared" si="0"/>
        <v>14.767383691845923</v>
      </c>
      <c r="AB21" s="19">
        <f t="shared" si="8"/>
        <v>4.9587293646823412</v>
      </c>
      <c r="AC21" s="19">
        <f t="shared" si="2"/>
        <v>0.29865240120060027</v>
      </c>
      <c r="AD21" s="19">
        <f t="shared" si="9"/>
        <v>10.225112556278139</v>
      </c>
      <c r="AE21" s="19">
        <f t="shared" si="10"/>
        <v>101.73636818409206</v>
      </c>
      <c r="AF21" s="19">
        <f t="shared" si="3"/>
        <v>3.0339465232616307</v>
      </c>
      <c r="AG21" s="19">
        <f t="shared" si="4"/>
        <v>0.35714107053526761</v>
      </c>
      <c r="AH21" s="19">
        <f t="shared" si="11"/>
        <v>121.25062531265633</v>
      </c>
      <c r="AI21" s="19">
        <f t="shared" si="12"/>
        <v>0</v>
      </c>
      <c r="AJ21" s="19">
        <f t="shared" si="5"/>
        <v>0.44360517758879442</v>
      </c>
      <c r="AK21" s="19">
        <f t="shared" si="6"/>
        <v>0.21148059029514757</v>
      </c>
      <c r="AL21" s="19">
        <f t="shared" si="13"/>
        <v>61.737118559279637</v>
      </c>
      <c r="AN21" s="11" t="s">
        <v>100</v>
      </c>
      <c r="AO21" s="9">
        <v>0.29865240120060027</v>
      </c>
      <c r="AP21" s="9">
        <v>0.44360517758879442</v>
      </c>
      <c r="AQ21" s="9">
        <v>0.21148059029514757</v>
      </c>
      <c r="AR21" s="9">
        <v>0.29865240120060027</v>
      </c>
      <c r="AS21" s="9">
        <v>0.44360517758879442</v>
      </c>
      <c r="AT21" s="9">
        <v>0.21148059029514757</v>
      </c>
      <c r="AU21" s="29">
        <v>317.76</v>
      </c>
      <c r="AV21" s="29">
        <v>3</v>
      </c>
      <c r="AW21" s="29">
        <v>-17</v>
      </c>
    </row>
    <row r="22" spans="1:49" ht="15" x14ac:dyDescent="0.25">
      <c r="A22" s="32">
        <v>10</v>
      </c>
      <c r="B22" s="32" t="s">
        <v>131</v>
      </c>
      <c r="C22" s="32"/>
      <c r="D22" s="33">
        <v>2</v>
      </c>
      <c r="E22" s="34">
        <v>3</v>
      </c>
      <c r="F22" s="33" t="s">
        <v>91</v>
      </c>
      <c r="G22" s="33" t="s">
        <v>117</v>
      </c>
      <c r="H22" s="1">
        <v>1</v>
      </c>
      <c r="I22" s="1">
        <v>21</v>
      </c>
      <c r="J22" s="7">
        <v>0.19939999999999999</v>
      </c>
      <c r="K22" s="1">
        <v>25</v>
      </c>
      <c r="L22" s="54">
        <f t="shared" si="7"/>
        <v>7.976</v>
      </c>
      <c r="M22" s="8" t="s">
        <v>43</v>
      </c>
      <c r="N22" s="9">
        <v>0.11633</v>
      </c>
      <c r="O22" s="9">
        <v>0.25095000000000001</v>
      </c>
      <c r="P22" s="9">
        <v>101.36</v>
      </c>
      <c r="Q22" s="9">
        <v>5.357E-2</v>
      </c>
      <c r="R22" s="9">
        <v>0.33909</v>
      </c>
      <c r="S22" s="9">
        <v>107.25</v>
      </c>
      <c r="T22" s="9">
        <v>36.738</v>
      </c>
      <c r="U22" s="9">
        <v>0.75183</v>
      </c>
      <c r="V22" s="9">
        <v>0</v>
      </c>
      <c r="W22" s="9">
        <v>34.270000000000003</v>
      </c>
      <c r="X22" s="9">
        <v>19.245999999999999</v>
      </c>
      <c r="Y22" s="9">
        <v>0.39450000000000002</v>
      </c>
      <c r="AA22" s="19">
        <f t="shared" si="0"/>
        <v>14.585005015045137</v>
      </c>
      <c r="AB22" s="19">
        <f t="shared" si="8"/>
        <v>31.463139418254762</v>
      </c>
      <c r="AC22" s="19">
        <f t="shared" si="2"/>
        <v>1.2706399949849549</v>
      </c>
      <c r="AD22" s="19">
        <f t="shared" si="9"/>
        <v>6.7163991975927786</v>
      </c>
      <c r="AE22" s="19">
        <f t="shared" si="10"/>
        <v>42.115596790371114</v>
      </c>
      <c r="AF22" s="19">
        <f t="shared" si="3"/>
        <v>1.3435853059177534</v>
      </c>
      <c r="AG22" s="19">
        <f t="shared" si="4"/>
        <v>0.46060682046138418</v>
      </c>
      <c r="AH22" s="19">
        <f t="shared" si="11"/>
        <v>94.261534603811427</v>
      </c>
      <c r="AI22" s="19">
        <f t="shared" si="12"/>
        <v>0</v>
      </c>
      <c r="AJ22" s="19">
        <f t="shared" si="5"/>
        <v>0.42909566198595794</v>
      </c>
      <c r="AK22" s="19">
        <f t="shared" si="6"/>
        <v>0.23993214643931796</v>
      </c>
      <c r="AL22" s="19">
        <f t="shared" si="13"/>
        <v>49.460882647943833</v>
      </c>
      <c r="AN22" s="11" t="s">
        <v>91</v>
      </c>
      <c r="AO22" s="9">
        <v>1.2706399949849549</v>
      </c>
      <c r="AP22" s="9">
        <v>0.42909566198595794</v>
      </c>
      <c r="AQ22" s="9">
        <v>0.23993214643931796</v>
      </c>
      <c r="AR22" s="9">
        <v>1.2706399949849549</v>
      </c>
      <c r="AS22" s="9">
        <v>0.42909566198595794</v>
      </c>
      <c r="AT22" s="9">
        <v>0.23993214643931796</v>
      </c>
      <c r="AU22" s="29">
        <v>409</v>
      </c>
      <c r="AV22" s="29">
        <v>0</v>
      </c>
      <c r="AW22" s="29">
        <v>-20</v>
      </c>
    </row>
    <row r="23" spans="1:49" ht="15" x14ac:dyDescent="0.25">
      <c r="A23" s="32">
        <v>10</v>
      </c>
      <c r="B23" s="32" t="s">
        <v>132</v>
      </c>
      <c r="C23" s="32"/>
      <c r="D23" s="33">
        <v>2</v>
      </c>
      <c r="E23" s="34">
        <v>3</v>
      </c>
      <c r="F23" s="33" t="s">
        <v>100</v>
      </c>
      <c r="G23" s="33" t="s">
        <v>117</v>
      </c>
      <c r="H23" s="1">
        <v>2</v>
      </c>
      <c r="I23" s="1">
        <v>22</v>
      </c>
      <c r="J23" s="7">
        <v>0.20100000000000001</v>
      </c>
      <c r="K23" s="1">
        <v>25</v>
      </c>
      <c r="L23" s="54">
        <f t="shared" si="7"/>
        <v>8.0399999999999991</v>
      </c>
      <c r="M23" s="8" t="s">
        <v>44</v>
      </c>
      <c r="N23" s="9">
        <v>0.11584</v>
      </c>
      <c r="O23" s="9">
        <v>4.9369999999999997E-2</v>
      </c>
      <c r="P23" s="9">
        <v>20.718</v>
      </c>
      <c r="Q23" s="9">
        <v>8.7139999999999995E-2</v>
      </c>
      <c r="R23" s="9">
        <v>0.67354999999999998</v>
      </c>
      <c r="S23" s="9">
        <v>282.52999999999997</v>
      </c>
      <c r="T23" s="9">
        <v>23.934999999999999</v>
      </c>
      <c r="U23" s="9">
        <v>0.85368999999999995</v>
      </c>
      <c r="V23" s="9">
        <v>0</v>
      </c>
      <c r="W23" s="9">
        <v>30.103000000000002</v>
      </c>
      <c r="X23" s="9">
        <v>16.093</v>
      </c>
      <c r="Y23" s="9">
        <v>0.36519000000000001</v>
      </c>
      <c r="AA23" s="19">
        <f t="shared" si="0"/>
        <v>14.407960199004973</v>
      </c>
      <c r="AB23" s="19">
        <f t="shared" si="8"/>
        <v>6.140547263681591</v>
      </c>
      <c r="AC23" s="19">
        <f t="shared" si="2"/>
        <v>0.25751549751243785</v>
      </c>
      <c r="AD23" s="19">
        <f t="shared" si="9"/>
        <v>10.83830845771144</v>
      </c>
      <c r="AE23" s="19">
        <f t="shared" si="10"/>
        <v>83.379850746268659</v>
      </c>
      <c r="AF23" s="19">
        <f t="shared" si="3"/>
        <v>3.5129896019900486</v>
      </c>
      <c r="AG23" s="19">
        <f t="shared" si="4"/>
        <v>0.29769900497512436</v>
      </c>
      <c r="AH23" s="19">
        <f t="shared" si="11"/>
        <v>106.18034825870646</v>
      </c>
      <c r="AI23" s="19">
        <f t="shared" si="12"/>
        <v>0</v>
      </c>
      <c r="AJ23" s="19">
        <f t="shared" si="5"/>
        <v>0.3738516169154229</v>
      </c>
      <c r="AK23" s="19">
        <f t="shared" si="6"/>
        <v>0.19880582089552237</v>
      </c>
      <c r="AL23" s="19">
        <f t="shared" si="13"/>
        <v>45.42164179104477</v>
      </c>
      <c r="AN23" s="11" t="s">
        <v>100</v>
      </c>
      <c r="AO23" s="9">
        <v>0.25751549751243785</v>
      </c>
      <c r="AP23" s="9">
        <v>0.3738516169154229</v>
      </c>
      <c r="AQ23" s="9">
        <v>0.19880582089552237</v>
      </c>
      <c r="AR23" s="9">
        <v>0.25751549751243785</v>
      </c>
      <c r="AS23" s="9">
        <v>0.3738516169154229</v>
      </c>
      <c r="AT23" s="9">
        <v>0.19880582089552237</v>
      </c>
      <c r="AU23" s="29">
        <v>252</v>
      </c>
      <c r="AV23" s="29">
        <v>0</v>
      </c>
      <c r="AW23" s="29">
        <v>-20</v>
      </c>
    </row>
    <row r="24" spans="1:49" x14ac:dyDescent="0.2">
      <c r="A24" s="32">
        <v>11</v>
      </c>
      <c r="B24" s="32" t="s">
        <v>120</v>
      </c>
      <c r="C24" s="32"/>
      <c r="D24" s="33">
        <v>2</v>
      </c>
      <c r="E24" s="34">
        <v>4</v>
      </c>
      <c r="F24" s="33" t="s">
        <v>91</v>
      </c>
      <c r="G24" s="33" t="s">
        <v>115</v>
      </c>
      <c r="H24" s="1">
        <v>1</v>
      </c>
      <c r="I24" s="1">
        <v>23</v>
      </c>
      <c r="J24" s="7">
        <v>0.19939999999999999</v>
      </c>
      <c r="K24" s="1">
        <v>25</v>
      </c>
      <c r="L24" s="54">
        <f t="shared" si="7"/>
        <v>7.976</v>
      </c>
      <c r="M24" s="8" t="s">
        <v>45</v>
      </c>
      <c r="N24" s="9">
        <v>0.15146000000000001</v>
      </c>
      <c r="O24" s="9">
        <v>0.32374000000000003</v>
      </c>
      <c r="P24" s="9">
        <v>108.17</v>
      </c>
      <c r="Q24" s="9">
        <v>4.9950000000000001E-2</v>
      </c>
      <c r="R24" s="9">
        <v>0.55650999999999995</v>
      </c>
      <c r="S24" s="9">
        <v>170.89</v>
      </c>
      <c r="T24" s="9">
        <v>39.304000000000002</v>
      </c>
      <c r="U24" s="9">
        <v>0.89149</v>
      </c>
      <c r="V24" s="9">
        <v>0</v>
      </c>
      <c r="W24" s="9">
        <v>41.811</v>
      </c>
      <c r="X24" s="9">
        <v>22.574000000000002</v>
      </c>
      <c r="Y24" s="9">
        <v>0.32973999999999998</v>
      </c>
      <c r="AA24" s="19">
        <f t="shared" si="0"/>
        <v>18.98946840521565</v>
      </c>
      <c r="AB24" s="19">
        <f t="shared" si="8"/>
        <v>40.589267803410237</v>
      </c>
      <c r="AC24" s="19">
        <f t="shared" si="2"/>
        <v>1.3560211384152456</v>
      </c>
      <c r="AD24" s="19">
        <f t="shared" si="9"/>
        <v>6.262537612838516</v>
      </c>
      <c r="AE24" s="19">
        <f t="shared" si="10"/>
        <v>69.374874623871619</v>
      </c>
      <c r="AF24" s="19">
        <f t="shared" si="3"/>
        <v>2.1414789869608826</v>
      </c>
      <c r="AG24" s="19">
        <f t="shared" si="4"/>
        <v>0.49277833500501511</v>
      </c>
      <c r="AH24" s="19">
        <f t="shared" si="11"/>
        <v>111.77156469408226</v>
      </c>
      <c r="AI24" s="19">
        <f t="shared" si="12"/>
        <v>0</v>
      </c>
      <c r="AJ24" s="19">
        <f t="shared" si="5"/>
        <v>0.52364180040120367</v>
      </c>
      <c r="AK24" s="19">
        <f t="shared" si="6"/>
        <v>0.28165732196589777</v>
      </c>
      <c r="AL24" s="19">
        <f t="shared" si="13"/>
        <v>41.341524573721159</v>
      </c>
      <c r="AN24" s="11" t="s">
        <v>91</v>
      </c>
      <c r="AO24" s="9">
        <v>1.3560211384152456</v>
      </c>
      <c r="AP24" s="9">
        <v>0.52364180040120367</v>
      </c>
      <c r="AQ24" s="9">
        <v>0.28165732196589777</v>
      </c>
      <c r="AR24" s="9">
        <v>1.3560211384152456</v>
      </c>
      <c r="AS24" s="9">
        <v>0.52364180040120367</v>
      </c>
      <c r="AT24" s="9">
        <v>0.28165732196589777</v>
      </c>
      <c r="AU24" s="29">
        <v>3.7999999999999972</v>
      </c>
      <c r="AV24" s="29">
        <v>40</v>
      </c>
      <c r="AW24" s="29">
        <v>20</v>
      </c>
    </row>
    <row r="25" spans="1:49" x14ac:dyDescent="0.2">
      <c r="A25" s="32">
        <v>11</v>
      </c>
      <c r="B25" s="32" t="s">
        <v>116</v>
      </c>
      <c r="C25" s="32"/>
      <c r="D25" s="33">
        <v>2</v>
      </c>
      <c r="E25" s="34">
        <v>4</v>
      </c>
      <c r="F25" s="33" t="s">
        <v>100</v>
      </c>
      <c r="G25" s="33" t="s">
        <v>117</v>
      </c>
      <c r="H25" s="1">
        <v>2</v>
      </c>
      <c r="I25" s="1">
        <v>24</v>
      </c>
      <c r="J25" s="7">
        <v>0.20119999999999999</v>
      </c>
      <c r="K25" s="1">
        <v>25</v>
      </c>
      <c r="L25" s="54">
        <f t="shared" si="7"/>
        <v>8.048</v>
      </c>
      <c r="M25" s="8" t="s">
        <v>46</v>
      </c>
      <c r="N25" s="9">
        <v>0.10571999999999999</v>
      </c>
      <c r="O25" s="9">
        <v>4.7120000000000002E-2</v>
      </c>
      <c r="P25" s="9">
        <v>25.138000000000002</v>
      </c>
      <c r="Q25" s="9">
        <v>8.745E-2</v>
      </c>
      <c r="R25" s="9">
        <v>0.66259999999999997</v>
      </c>
      <c r="S25" s="9">
        <v>274.55</v>
      </c>
      <c r="T25" s="9">
        <v>24.373999999999999</v>
      </c>
      <c r="U25" s="9">
        <v>0.83926999999999996</v>
      </c>
      <c r="V25" s="9">
        <v>0</v>
      </c>
      <c r="W25" s="9">
        <v>34.649000000000001</v>
      </c>
      <c r="X25" s="9">
        <v>16.140999999999998</v>
      </c>
      <c r="Y25" s="9">
        <v>0.32743</v>
      </c>
      <c r="AA25" s="19">
        <f t="shared" si="0"/>
        <v>13.136182902584492</v>
      </c>
      <c r="AB25" s="19">
        <f t="shared" si="8"/>
        <v>5.8548707753479139</v>
      </c>
      <c r="AC25" s="19">
        <f t="shared" si="2"/>
        <v>0.31217999502982113</v>
      </c>
      <c r="AD25" s="19">
        <f t="shared" si="9"/>
        <v>10.866053677932404</v>
      </c>
      <c r="AE25" s="19">
        <f t="shared" si="10"/>
        <v>81.936381709741539</v>
      </c>
      <c r="AF25" s="19">
        <f t="shared" si="3"/>
        <v>3.4103424950298211</v>
      </c>
      <c r="AG25" s="19">
        <f t="shared" si="4"/>
        <v>0.30285785288270384</v>
      </c>
      <c r="AH25" s="19">
        <f t="shared" si="11"/>
        <v>104.28305168986083</v>
      </c>
      <c r="AI25" s="19">
        <f t="shared" si="12"/>
        <v>0</v>
      </c>
      <c r="AJ25" s="19">
        <f t="shared" si="5"/>
        <v>0.42996607852882707</v>
      </c>
      <c r="AK25" s="19">
        <f t="shared" si="6"/>
        <v>0.19920462226640159</v>
      </c>
      <c r="AL25" s="19">
        <f t="shared" si="13"/>
        <v>40.684642147117302</v>
      </c>
      <c r="AN25" s="11" t="s">
        <v>100</v>
      </c>
      <c r="AO25" s="9">
        <v>0.31217999502982113</v>
      </c>
      <c r="AP25" s="9">
        <v>0.42996607852882707</v>
      </c>
      <c r="AQ25" s="9">
        <v>0.19920462226640159</v>
      </c>
      <c r="AR25" s="9">
        <v>0.31217999502982113</v>
      </c>
      <c r="AS25" s="9">
        <v>0.42996607852882707</v>
      </c>
      <c r="AT25" s="9">
        <v>0.19920462226640159</v>
      </c>
      <c r="AU25" s="29">
        <v>12</v>
      </c>
      <c r="AV25" s="29">
        <v>0</v>
      </c>
      <c r="AW25" s="29">
        <v>-20</v>
      </c>
    </row>
    <row r="26" spans="1:49" x14ac:dyDescent="0.2">
      <c r="A26" s="32">
        <v>12</v>
      </c>
      <c r="B26" s="32" t="s">
        <v>121</v>
      </c>
      <c r="C26" s="32"/>
      <c r="D26" s="33">
        <v>2</v>
      </c>
      <c r="E26" s="34">
        <v>5</v>
      </c>
      <c r="F26" s="33" t="s">
        <v>100</v>
      </c>
      <c r="G26" s="33" t="s">
        <v>117</v>
      </c>
      <c r="H26" s="1">
        <v>1</v>
      </c>
      <c r="I26" s="1">
        <v>25</v>
      </c>
      <c r="J26" s="7">
        <v>0.19969999999999999</v>
      </c>
      <c r="K26" s="1">
        <v>25</v>
      </c>
      <c r="L26" s="54">
        <f t="shared" si="7"/>
        <v>7.9879999999999995</v>
      </c>
      <c r="M26" s="8" t="s">
        <v>47</v>
      </c>
      <c r="N26" s="9">
        <v>7.5660000000000005E-2</v>
      </c>
      <c r="O26" s="9">
        <v>4.2970000000000001E-2</v>
      </c>
      <c r="P26" s="9">
        <v>20.323</v>
      </c>
      <c r="Q26" s="9">
        <v>6.4579999999999999E-2</v>
      </c>
      <c r="R26" s="9">
        <v>0.52839999999999998</v>
      </c>
      <c r="S26" s="9">
        <v>247.55</v>
      </c>
      <c r="T26" s="9">
        <v>22.445</v>
      </c>
      <c r="U26" s="9">
        <v>0.63590000000000002</v>
      </c>
      <c r="V26" s="9">
        <v>0</v>
      </c>
      <c r="W26" s="9">
        <v>24.721</v>
      </c>
      <c r="X26" s="9">
        <v>12.361000000000001</v>
      </c>
      <c r="Y26" s="9">
        <v>0.24932000000000001</v>
      </c>
      <c r="AA26" s="19">
        <f t="shared" si="0"/>
        <v>9.471707561342015</v>
      </c>
      <c r="AB26" s="19">
        <f t="shared" si="8"/>
        <v>5.3793189784677011</v>
      </c>
      <c r="AC26" s="19">
        <f t="shared" si="2"/>
        <v>0.25424694541812726</v>
      </c>
      <c r="AD26" s="19">
        <f t="shared" si="9"/>
        <v>8.084626940410617</v>
      </c>
      <c r="AE26" s="19">
        <f t="shared" si="10"/>
        <v>65.751627441161745</v>
      </c>
      <c r="AF26" s="19">
        <f t="shared" si="3"/>
        <v>3.0979514772158234</v>
      </c>
      <c r="AG26" s="19">
        <f t="shared" si="4"/>
        <v>0.28098397596394592</v>
      </c>
      <c r="AH26" s="19">
        <f t="shared" si="11"/>
        <v>79.60691036554833</v>
      </c>
      <c r="AI26" s="19">
        <f t="shared" si="12"/>
        <v>0</v>
      </c>
      <c r="AJ26" s="19">
        <f t="shared" si="5"/>
        <v>0.30890923885828747</v>
      </c>
      <c r="AK26" s="19">
        <f t="shared" si="6"/>
        <v>0.15337991987981975</v>
      </c>
      <c r="AL26" s="19">
        <f t="shared" si="13"/>
        <v>31.211817726589889</v>
      </c>
      <c r="AN26" s="11" t="s">
        <v>100</v>
      </c>
      <c r="AO26" s="9">
        <v>0.25424694541812726</v>
      </c>
      <c r="AP26" s="9">
        <v>0.30890923885828747</v>
      </c>
      <c r="AQ26" s="9">
        <v>0.15337991987981975</v>
      </c>
      <c r="AU26" s="29">
        <v>89.32</v>
      </c>
      <c r="AV26" s="29">
        <v>21</v>
      </c>
      <c r="AW26" s="29">
        <v>1</v>
      </c>
    </row>
    <row r="27" spans="1:49" x14ac:dyDescent="0.2">
      <c r="A27" s="32">
        <v>12</v>
      </c>
      <c r="B27" s="32" t="s">
        <v>122</v>
      </c>
      <c r="C27" s="32"/>
      <c r="D27" s="33">
        <v>2</v>
      </c>
      <c r="E27" s="34">
        <v>5</v>
      </c>
      <c r="F27" s="33" t="s">
        <v>100</v>
      </c>
      <c r="G27" s="33" t="s">
        <v>117</v>
      </c>
      <c r="H27" s="1">
        <v>2</v>
      </c>
      <c r="I27" s="1">
        <v>26</v>
      </c>
      <c r="J27" s="7">
        <v>0.19919999999999999</v>
      </c>
      <c r="K27" s="1">
        <v>25</v>
      </c>
      <c r="L27" s="54">
        <f t="shared" si="7"/>
        <v>7.968</v>
      </c>
      <c r="M27" s="8" t="s">
        <v>48</v>
      </c>
      <c r="N27" s="9">
        <v>6.6110000000000002E-2</v>
      </c>
      <c r="O27" s="9">
        <v>4.1189999999999997E-2</v>
      </c>
      <c r="P27" s="9">
        <v>18.542999999999999</v>
      </c>
      <c r="Q27" s="9">
        <v>5.926E-2</v>
      </c>
      <c r="R27" s="9">
        <v>0.57616000000000001</v>
      </c>
      <c r="S27" s="9">
        <v>222.5</v>
      </c>
      <c r="T27" s="9">
        <v>22.948</v>
      </c>
      <c r="U27" s="9">
        <v>0.68515000000000004</v>
      </c>
      <c r="V27" s="9">
        <v>0</v>
      </c>
      <c r="W27" s="9">
        <v>29.481000000000002</v>
      </c>
      <c r="X27" s="9">
        <v>14.101000000000001</v>
      </c>
      <c r="Y27" s="9">
        <v>0.22636999999999999</v>
      </c>
      <c r="AA27" s="19">
        <f t="shared" si="0"/>
        <v>8.2969377510040179</v>
      </c>
      <c r="AB27" s="19">
        <f t="shared" si="8"/>
        <v>5.1694277108433733</v>
      </c>
      <c r="AC27" s="19">
        <f t="shared" si="2"/>
        <v>0.23254575803212851</v>
      </c>
      <c r="AD27" s="19">
        <f t="shared" si="9"/>
        <v>7.4372489959839365</v>
      </c>
      <c r="AE27" s="19">
        <f t="shared" si="10"/>
        <v>71.910642570281126</v>
      </c>
      <c r="AF27" s="19">
        <f t="shared" si="3"/>
        <v>2.7913449297188757</v>
      </c>
      <c r="AG27" s="19">
        <f t="shared" si="4"/>
        <v>0.28800200803212855</v>
      </c>
      <c r="AH27" s="19">
        <f t="shared" si="11"/>
        <v>85.98770080321286</v>
      </c>
      <c r="AI27" s="19">
        <f t="shared" si="12"/>
        <v>0</v>
      </c>
      <c r="AJ27" s="19">
        <f t="shared" si="5"/>
        <v>0.36942356927710851</v>
      </c>
      <c r="AK27" s="19">
        <f t="shared" si="6"/>
        <v>0.1756022590361446</v>
      </c>
      <c r="AL27" s="19">
        <f t="shared" si="13"/>
        <v>28.409889558232933</v>
      </c>
      <c r="AN27" s="11" t="s">
        <v>100</v>
      </c>
      <c r="AO27" s="9">
        <v>0.23254575803212851</v>
      </c>
      <c r="AP27" s="9">
        <v>0.36942356927710851</v>
      </c>
      <c r="AQ27" s="9">
        <v>0.1756022590361446</v>
      </c>
      <c r="AU27" s="29">
        <v>-1.3599999999999994</v>
      </c>
      <c r="AV27" s="29">
        <v>17</v>
      </c>
      <c r="AW27" s="29">
        <v>-3</v>
      </c>
    </row>
    <row r="28" spans="1:49" x14ac:dyDescent="0.2">
      <c r="A28" s="32">
        <v>13</v>
      </c>
      <c r="B28" s="32" t="s">
        <v>123</v>
      </c>
      <c r="C28" s="32"/>
      <c r="D28" s="33">
        <v>2</v>
      </c>
      <c r="E28" s="34">
        <v>6</v>
      </c>
      <c r="F28" s="33" t="s">
        <v>91</v>
      </c>
      <c r="G28" s="33" t="s">
        <v>115</v>
      </c>
      <c r="H28" s="1">
        <v>1</v>
      </c>
      <c r="I28" s="1">
        <v>27</v>
      </c>
      <c r="J28" s="7">
        <v>0.1986</v>
      </c>
      <c r="K28" s="1">
        <v>25</v>
      </c>
      <c r="L28" s="54">
        <f t="shared" si="7"/>
        <v>7.944</v>
      </c>
      <c r="M28" s="8" t="s">
        <v>49</v>
      </c>
      <c r="N28" s="9">
        <v>0.24055000000000001</v>
      </c>
      <c r="O28" s="9">
        <v>0.27278000000000002</v>
      </c>
      <c r="P28" s="9">
        <v>108.86</v>
      </c>
      <c r="Q28" s="9">
        <v>5.8990000000000001E-2</v>
      </c>
      <c r="R28" s="9">
        <v>0.59960000000000002</v>
      </c>
      <c r="S28" s="9">
        <v>153.41999999999999</v>
      </c>
      <c r="T28" s="9">
        <v>40.784999999999997</v>
      </c>
      <c r="U28" s="9">
        <v>1.0204</v>
      </c>
      <c r="V28" s="9">
        <v>0</v>
      </c>
      <c r="W28" s="9">
        <v>44.61</v>
      </c>
      <c r="X28" s="9">
        <v>20.103000000000002</v>
      </c>
      <c r="Y28" s="9">
        <v>0.36248999999999998</v>
      </c>
      <c r="AA28" s="19">
        <f t="shared" si="0"/>
        <v>30.280715005035248</v>
      </c>
      <c r="AB28" s="19">
        <f t="shared" si="8"/>
        <v>34.337865055387716</v>
      </c>
      <c r="AC28" s="19">
        <f t="shared" si="2"/>
        <v>1.3701692598187309</v>
      </c>
      <c r="AD28" s="19">
        <f t="shared" si="9"/>
        <v>7.4257301107754277</v>
      </c>
      <c r="AE28" s="19">
        <f t="shared" si="10"/>
        <v>75.0785498489426</v>
      </c>
      <c r="AF28" s="19">
        <f t="shared" si="3"/>
        <v>1.9301908862034238</v>
      </c>
      <c r="AG28" s="19">
        <f t="shared" si="4"/>
        <v>0.51340634441087607</v>
      </c>
      <c r="AH28" s="19">
        <f t="shared" si="11"/>
        <v>128.44914400805638</v>
      </c>
      <c r="AI28" s="19">
        <f t="shared" si="12"/>
        <v>0</v>
      </c>
      <c r="AJ28" s="19">
        <f t="shared" si="5"/>
        <v>0.56098527190332326</v>
      </c>
      <c r="AK28" s="19">
        <f t="shared" si="6"/>
        <v>0.25168665659617323</v>
      </c>
      <c r="AL28" s="19">
        <f t="shared" si="13"/>
        <v>45.630664652567972</v>
      </c>
      <c r="AN28" s="11" t="s">
        <v>91</v>
      </c>
      <c r="AO28" s="9">
        <v>1.3701692598187309</v>
      </c>
      <c r="AP28" s="9">
        <v>0.56098527190332326</v>
      </c>
      <c r="AQ28" s="9">
        <v>0.25168665659617323</v>
      </c>
      <c r="AU28" s="29">
        <v>140.91999999999999</v>
      </c>
      <c r="AV28" s="29">
        <v>1</v>
      </c>
      <c r="AW28" s="29">
        <v>-19</v>
      </c>
    </row>
    <row r="29" spans="1:49" x14ac:dyDescent="0.2">
      <c r="A29" s="32">
        <v>13</v>
      </c>
      <c r="B29" s="32" t="s">
        <v>124</v>
      </c>
      <c r="C29" s="32"/>
      <c r="D29" s="33">
        <v>2</v>
      </c>
      <c r="E29" s="34">
        <v>6</v>
      </c>
      <c r="F29" s="33" t="s">
        <v>91</v>
      </c>
      <c r="G29" s="33" t="s">
        <v>115</v>
      </c>
      <c r="H29" s="1">
        <v>2</v>
      </c>
      <c r="I29" s="1">
        <v>28</v>
      </c>
      <c r="J29" s="7">
        <v>0.20019999999999999</v>
      </c>
      <c r="K29" s="1">
        <v>25</v>
      </c>
      <c r="L29" s="54">
        <f t="shared" si="7"/>
        <v>8.0079999999999991</v>
      </c>
      <c r="M29" s="8" t="s">
        <v>50</v>
      </c>
      <c r="N29" s="9">
        <v>0.31728000000000001</v>
      </c>
      <c r="O29" s="9">
        <v>0.28786</v>
      </c>
      <c r="P29" s="9">
        <v>111.47</v>
      </c>
      <c r="Q29" s="9">
        <v>6.5159999999999996E-2</v>
      </c>
      <c r="R29" s="9">
        <v>0.68806</v>
      </c>
      <c r="S29" s="9">
        <v>148.58000000000001</v>
      </c>
      <c r="T29" s="9">
        <v>43.039000000000001</v>
      </c>
      <c r="U29" s="9">
        <v>1.2083999999999999</v>
      </c>
      <c r="V29" s="9">
        <v>0</v>
      </c>
      <c r="W29" s="9">
        <v>35.267000000000003</v>
      </c>
      <c r="X29" s="9">
        <v>20.905999999999999</v>
      </c>
      <c r="Y29" s="9">
        <v>0.33311000000000002</v>
      </c>
      <c r="AA29" s="19">
        <f t="shared" si="0"/>
        <v>39.620379620379623</v>
      </c>
      <c r="AB29" s="19">
        <f t="shared" si="8"/>
        <v>35.946553446553452</v>
      </c>
      <c r="AC29" s="19">
        <f t="shared" si="2"/>
        <v>1.3918112637362638</v>
      </c>
      <c r="AD29" s="19">
        <f t="shared" si="9"/>
        <v>8.1368631368631377</v>
      </c>
      <c r="AE29" s="19">
        <f t="shared" si="10"/>
        <v>85.524975024975035</v>
      </c>
      <c r="AF29" s="19">
        <f t="shared" si="3"/>
        <v>1.8543252247752251</v>
      </c>
      <c r="AG29" s="19">
        <f t="shared" si="4"/>
        <v>0.53745004995004997</v>
      </c>
      <c r="AH29" s="19">
        <f t="shared" si="11"/>
        <v>150.89910089910089</v>
      </c>
      <c r="AI29" s="19">
        <f t="shared" si="12"/>
        <v>0</v>
      </c>
      <c r="AJ29" s="19">
        <f t="shared" si="5"/>
        <v>0.43983104395604405</v>
      </c>
      <c r="AK29" s="19">
        <f t="shared" si="6"/>
        <v>0.25970264735264736</v>
      </c>
      <c r="AL29" s="19">
        <f t="shared" si="13"/>
        <v>41.597152847152849</v>
      </c>
      <c r="AN29" s="11" t="s">
        <v>91</v>
      </c>
      <c r="AO29" s="9">
        <v>1.3918112637362638</v>
      </c>
      <c r="AP29" s="9">
        <v>0.43983104395604405</v>
      </c>
      <c r="AQ29" s="9">
        <v>0.25970264735264736</v>
      </c>
      <c r="AU29" s="29">
        <v>440.68</v>
      </c>
      <c r="AV29" s="29">
        <v>4</v>
      </c>
      <c r="AW29" s="29">
        <v>-16</v>
      </c>
    </row>
    <row r="30" spans="1:49" x14ac:dyDescent="0.2">
      <c r="A30" s="32">
        <v>14</v>
      </c>
      <c r="B30" s="32" t="s">
        <v>125</v>
      </c>
      <c r="C30" s="32"/>
      <c r="D30" s="33">
        <v>2</v>
      </c>
      <c r="E30" s="34">
        <v>7</v>
      </c>
      <c r="F30" s="33" t="s">
        <v>91</v>
      </c>
      <c r="G30" s="33" t="s">
        <v>117</v>
      </c>
      <c r="H30" s="1">
        <v>1</v>
      </c>
      <c r="I30" s="1">
        <v>31</v>
      </c>
      <c r="J30" s="85">
        <v>0.20180000000000001</v>
      </c>
      <c r="K30" s="1">
        <v>25</v>
      </c>
      <c r="L30" s="54">
        <f t="shared" si="7"/>
        <v>8.072000000000001</v>
      </c>
      <c r="M30" s="8" t="s">
        <v>53</v>
      </c>
      <c r="N30" s="9">
        <v>0.63373999999999997</v>
      </c>
      <c r="O30" s="9">
        <v>0.30954999999999999</v>
      </c>
      <c r="P30" s="9">
        <v>129.34</v>
      </c>
      <c r="Q30" s="9">
        <v>9.4649999999999998E-2</v>
      </c>
      <c r="R30" s="9">
        <v>1.1640999999999999</v>
      </c>
      <c r="S30" s="9">
        <v>152.56</v>
      </c>
      <c r="T30" s="9">
        <v>44.896000000000001</v>
      </c>
      <c r="U30" s="9">
        <v>1.0986</v>
      </c>
      <c r="V30" s="9">
        <v>0</v>
      </c>
      <c r="W30" s="9">
        <v>44.905000000000001</v>
      </c>
      <c r="X30" s="9">
        <v>25.163</v>
      </c>
      <c r="Y30" s="9">
        <v>0.47058</v>
      </c>
      <c r="AA30" s="19">
        <f t="shared" si="0"/>
        <v>78.510901883052512</v>
      </c>
      <c r="AB30" s="19">
        <f t="shared" si="8"/>
        <v>38.34861248761149</v>
      </c>
      <c r="AC30" s="19">
        <f t="shared" si="2"/>
        <v>1.602158647175421</v>
      </c>
      <c r="AD30" s="19">
        <f t="shared" si="9"/>
        <v>11.725718533201189</v>
      </c>
      <c r="AE30" s="19">
        <f t="shared" si="10"/>
        <v>143.8211100099108</v>
      </c>
      <c r="AF30" s="19">
        <f t="shared" si="3"/>
        <v>1.8889291873141723</v>
      </c>
      <c r="AG30" s="19">
        <f t="shared" si="4"/>
        <v>0.55619425173439052</v>
      </c>
      <c r="AH30" s="19">
        <f t="shared" si="11"/>
        <v>136.10009910802773</v>
      </c>
      <c r="AI30" s="19">
        <f t="shared" si="12"/>
        <v>0</v>
      </c>
      <c r="AJ30" s="19">
        <f t="shared" si="5"/>
        <v>0.55574417740336957</v>
      </c>
      <c r="AK30" s="19">
        <f t="shared" si="6"/>
        <v>0.3103814172447969</v>
      </c>
      <c r="AL30" s="19">
        <f t="shared" si="13"/>
        <v>58.297819623389493</v>
      </c>
      <c r="AN30" s="11" t="s">
        <v>257</v>
      </c>
      <c r="AO30" s="40">
        <v>1.6021586471754199</v>
      </c>
      <c r="AP30" s="40">
        <v>0.55574417740337001</v>
      </c>
      <c r="AQ30" s="9">
        <v>0.31038141724479701</v>
      </c>
      <c r="AU30" s="29">
        <v>14.480000000000004</v>
      </c>
      <c r="AV30" s="29">
        <v>19</v>
      </c>
      <c r="AW30" s="29">
        <v>-1</v>
      </c>
    </row>
    <row r="31" spans="1:49" x14ac:dyDescent="0.2">
      <c r="A31" s="32">
        <v>14</v>
      </c>
      <c r="B31" s="32" t="s">
        <v>126</v>
      </c>
      <c r="C31" s="32"/>
      <c r="D31" s="33">
        <v>3</v>
      </c>
      <c r="E31" s="34">
        <v>7</v>
      </c>
      <c r="F31" s="33" t="s">
        <v>91</v>
      </c>
      <c r="G31" s="33" t="s">
        <v>117</v>
      </c>
      <c r="H31" s="1">
        <v>2</v>
      </c>
      <c r="I31" s="1">
        <v>32</v>
      </c>
      <c r="J31" s="7">
        <v>0.1996</v>
      </c>
      <c r="K31" s="1">
        <v>25</v>
      </c>
      <c r="L31" s="54">
        <f t="shared" si="7"/>
        <v>7.984</v>
      </c>
      <c r="M31" s="8" t="s">
        <v>54</v>
      </c>
      <c r="N31" s="9">
        <v>0.10702</v>
      </c>
      <c r="O31" s="9">
        <v>0.25730999999999998</v>
      </c>
      <c r="P31" s="9">
        <v>122.31</v>
      </c>
      <c r="Q31" s="9">
        <v>7.127E-2</v>
      </c>
      <c r="R31" s="9">
        <v>0.51983999999999997</v>
      </c>
      <c r="S31" s="9">
        <v>149.41</v>
      </c>
      <c r="T31" s="9">
        <v>43.561</v>
      </c>
      <c r="U31" s="9">
        <v>1.2168000000000001</v>
      </c>
      <c r="V31" s="9">
        <v>0</v>
      </c>
      <c r="W31" s="9">
        <v>48.642000000000003</v>
      </c>
      <c r="X31" s="9">
        <v>23.62</v>
      </c>
      <c r="Y31" s="9">
        <v>0.41567999999999999</v>
      </c>
      <c r="AA31" s="19">
        <f t="shared" si="0"/>
        <v>13.404308617234468</v>
      </c>
      <c r="AB31" s="19">
        <f t="shared" si="8"/>
        <v>32.228206412825649</v>
      </c>
      <c r="AC31" s="19">
        <f t="shared" si="2"/>
        <v>1.5317666082164327</v>
      </c>
      <c r="AD31" s="19">
        <f t="shared" si="9"/>
        <v>8.9266032064128247</v>
      </c>
      <c r="AE31" s="19">
        <f t="shared" si="10"/>
        <v>64.712424849699389</v>
      </c>
      <c r="AF31" s="19">
        <f t="shared" si="3"/>
        <v>1.8702951402805612</v>
      </c>
      <c r="AG31" s="19">
        <f t="shared" si="4"/>
        <v>0.54560370741482977</v>
      </c>
      <c r="AH31" s="19">
        <f t="shared" si="11"/>
        <v>152.40480961923848</v>
      </c>
      <c r="AI31" s="19">
        <f t="shared" si="12"/>
        <v>0</v>
      </c>
      <c r="AJ31" s="19">
        <f t="shared" si="5"/>
        <v>0.6086757264529058</v>
      </c>
      <c r="AK31" s="19">
        <f t="shared" si="6"/>
        <v>0.29447630260521046</v>
      </c>
      <c r="AL31" s="19">
        <f t="shared" si="13"/>
        <v>52.064128256513023</v>
      </c>
      <c r="AN31" s="11" t="s">
        <v>91</v>
      </c>
      <c r="AO31" s="9">
        <v>1.5317666082164327</v>
      </c>
      <c r="AP31" s="9">
        <v>0.6086757264529058</v>
      </c>
      <c r="AQ31" s="9">
        <v>0.29447630260521046</v>
      </c>
      <c r="AU31" s="29">
        <v>199</v>
      </c>
      <c r="AV31" s="29">
        <v>0</v>
      </c>
      <c r="AW31" s="29">
        <v>-20</v>
      </c>
    </row>
    <row r="32" spans="1:49" x14ac:dyDescent="0.2">
      <c r="A32" s="32">
        <v>15</v>
      </c>
      <c r="B32" s="32" t="s">
        <v>114</v>
      </c>
      <c r="C32" s="32"/>
      <c r="D32" s="33">
        <v>3</v>
      </c>
      <c r="E32" s="34">
        <v>1</v>
      </c>
      <c r="F32" s="33" t="s">
        <v>91</v>
      </c>
      <c r="G32" s="33" t="s">
        <v>115</v>
      </c>
      <c r="H32" s="1">
        <v>1</v>
      </c>
      <c r="I32" s="1">
        <v>33</v>
      </c>
      <c r="J32" s="7">
        <v>0.19919999999999999</v>
      </c>
      <c r="K32" s="1">
        <v>25</v>
      </c>
      <c r="L32" s="54">
        <f t="shared" si="7"/>
        <v>7.968</v>
      </c>
      <c r="M32" s="8" t="s">
        <v>55</v>
      </c>
      <c r="N32" s="9">
        <v>0.28622999999999998</v>
      </c>
      <c r="O32" s="9">
        <v>0.29038999999999998</v>
      </c>
      <c r="P32" s="9">
        <v>105.39</v>
      </c>
      <c r="Q32" s="9">
        <v>3.6549999999999999E-2</v>
      </c>
      <c r="R32" s="9">
        <v>0.70230000000000004</v>
      </c>
      <c r="S32" s="9">
        <v>153.41</v>
      </c>
      <c r="T32" s="9">
        <v>36.314999999999998</v>
      </c>
      <c r="U32" s="9">
        <v>0.84414</v>
      </c>
      <c r="V32" s="9">
        <v>0</v>
      </c>
      <c r="W32" s="9">
        <v>38.753999999999998</v>
      </c>
      <c r="X32" s="9">
        <v>20.585000000000001</v>
      </c>
      <c r="Y32" s="9">
        <v>0.25677</v>
      </c>
      <c r="AA32" s="19">
        <f t="shared" si="0"/>
        <v>35.922439759036145</v>
      </c>
      <c r="AB32" s="19">
        <f t="shared" si="8"/>
        <v>36.444528112449795</v>
      </c>
      <c r="AC32" s="19">
        <f t="shared" si="2"/>
        <v>1.322493047188755</v>
      </c>
      <c r="AD32" s="19">
        <f t="shared" si="9"/>
        <v>4.5870983935742968</v>
      </c>
      <c r="AE32" s="19">
        <f t="shared" si="10"/>
        <v>87.741465863453826</v>
      </c>
      <c r="AF32" s="19">
        <f t="shared" si="3"/>
        <v>1.9242515562248999</v>
      </c>
      <c r="AG32" s="19">
        <f t="shared" si="4"/>
        <v>0.45576054216867468</v>
      </c>
      <c r="AH32" s="19">
        <f t="shared" si="11"/>
        <v>105.94126506024097</v>
      </c>
      <c r="AI32" s="19">
        <f t="shared" si="12"/>
        <v>0</v>
      </c>
      <c r="AJ32" s="19">
        <f t="shared" si="5"/>
        <v>0.48580158132530121</v>
      </c>
      <c r="AK32" s="19">
        <f t="shared" si="6"/>
        <v>0.25697776104417669</v>
      </c>
      <c r="AL32" s="19">
        <f t="shared" si="13"/>
        <v>32.225150602409641</v>
      </c>
      <c r="AN32" s="11" t="s">
        <v>91</v>
      </c>
      <c r="AO32" s="9">
        <v>1.322493047188755</v>
      </c>
      <c r="AP32" s="9">
        <v>0.48580158132530121</v>
      </c>
      <c r="AQ32" s="9">
        <v>0.25697776104417669</v>
      </c>
      <c r="AR32" s="9">
        <v>1.322493047188755</v>
      </c>
      <c r="AS32" s="9">
        <v>0.48580158132530121</v>
      </c>
      <c r="AT32" s="9">
        <v>0.25697776104417669</v>
      </c>
      <c r="AU32" s="29">
        <v>221.2</v>
      </c>
      <c r="AV32" s="29">
        <v>10</v>
      </c>
      <c r="AW32" s="29">
        <v>-10</v>
      </c>
    </row>
    <row r="33" spans="1:49" x14ac:dyDescent="0.2">
      <c r="A33" s="32">
        <v>15</v>
      </c>
      <c r="B33" s="32" t="s">
        <v>116</v>
      </c>
      <c r="C33" s="32"/>
      <c r="D33" s="33">
        <v>3</v>
      </c>
      <c r="E33" s="34">
        <v>1</v>
      </c>
      <c r="F33" s="33" t="s">
        <v>100</v>
      </c>
      <c r="G33" s="33" t="s">
        <v>117</v>
      </c>
      <c r="H33" s="1">
        <v>2</v>
      </c>
      <c r="I33" s="1">
        <v>34</v>
      </c>
      <c r="J33" s="7">
        <v>0.19950000000000001</v>
      </c>
      <c r="K33" s="1">
        <v>25</v>
      </c>
      <c r="L33" s="54">
        <f t="shared" si="7"/>
        <v>7.98</v>
      </c>
      <c r="M33" s="8" t="s">
        <v>56</v>
      </c>
      <c r="N33" s="9">
        <v>1.6806000000000001</v>
      </c>
      <c r="O33" s="9">
        <v>4.8239999999999998E-2</v>
      </c>
      <c r="P33" s="9">
        <v>19.253</v>
      </c>
      <c r="Q33" s="9">
        <v>4.5289999999999997E-2</v>
      </c>
      <c r="R33" s="9">
        <v>1.9915</v>
      </c>
      <c r="S33" s="9">
        <v>222.93</v>
      </c>
      <c r="T33" s="9">
        <v>17.931999999999999</v>
      </c>
      <c r="U33" s="9">
        <v>0.77522000000000002</v>
      </c>
      <c r="V33" s="9">
        <v>0</v>
      </c>
      <c r="W33" s="9">
        <v>25.47</v>
      </c>
      <c r="X33" s="9">
        <v>9.6760000000000002</v>
      </c>
      <c r="Y33" s="9">
        <v>0.18637999999999999</v>
      </c>
      <c r="AA33" s="19">
        <f t="shared" si="0"/>
        <v>210.6015037593985</v>
      </c>
      <c r="AB33" s="19">
        <f t="shared" si="8"/>
        <v>6.0451127819548871</v>
      </c>
      <c r="AC33" s="19">
        <f t="shared" si="2"/>
        <v>0.24109330827067671</v>
      </c>
      <c r="AD33" s="19">
        <f t="shared" si="9"/>
        <v>5.6754385964912277</v>
      </c>
      <c r="AE33" s="19">
        <f t="shared" si="10"/>
        <v>249.16340852130327</v>
      </c>
      <c r="AF33" s="19">
        <f t="shared" si="3"/>
        <v>2.7925358897243107</v>
      </c>
      <c r="AG33" s="19">
        <f t="shared" si="4"/>
        <v>0.22471177944862153</v>
      </c>
      <c r="AH33" s="19">
        <f t="shared" si="11"/>
        <v>97.145363408521305</v>
      </c>
      <c r="AI33" s="19">
        <f t="shared" si="12"/>
        <v>0</v>
      </c>
      <c r="AJ33" s="19">
        <f t="shared" si="5"/>
        <v>0.31860488721804509</v>
      </c>
      <c r="AK33" s="19">
        <f t="shared" si="6"/>
        <v>0.11988706766917291</v>
      </c>
      <c r="AL33" s="19">
        <f t="shared" si="13"/>
        <v>23.355889724310774</v>
      </c>
      <c r="AN33" s="11" t="s">
        <v>100</v>
      </c>
      <c r="AO33" s="9">
        <v>0.24109330827067671</v>
      </c>
      <c r="AP33" s="9">
        <v>0.31860488721804509</v>
      </c>
      <c r="AQ33" s="9">
        <v>0.11988706766917291</v>
      </c>
      <c r="AR33" s="9">
        <v>0.24109330827067671</v>
      </c>
      <c r="AS33" s="9">
        <v>0.31860488721804509</v>
      </c>
      <c r="AT33" s="9">
        <v>0.11988706766917291</v>
      </c>
      <c r="AU33" s="29">
        <v>28</v>
      </c>
      <c r="AV33" s="29">
        <v>0</v>
      </c>
      <c r="AW33" s="29">
        <v>-20</v>
      </c>
    </row>
    <row r="34" spans="1:49" x14ac:dyDescent="0.2">
      <c r="A34" s="32">
        <v>16</v>
      </c>
      <c r="B34" s="32" t="s">
        <v>118</v>
      </c>
      <c r="C34" s="32"/>
      <c r="D34" s="33">
        <v>3</v>
      </c>
      <c r="E34" s="34">
        <v>2</v>
      </c>
      <c r="F34" s="33" t="s">
        <v>91</v>
      </c>
      <c r="G34" s="33" t="s">
        <v>117</v>
      </c>
      <c r="H34" s="1">
        <v>1</v>
      </c>
      <c r="I34" s="1">
        <v>35</v>
      </c>
      <c r="J34" s="7">
        <v>0.19980000000000001</v>
      </c>
      <c r="K34" s="1">
        <v>25</v>
      </c>
      <c r="L34" s="54">
        <f t="shared" si="7"/>
        <v>7.9920000000000009</v>
      </c>
      <c r="M34" s="8" t="s">
        <v>57</v>
      </c>
      <c r="N34" s="9">
        <v>0.19672999999999999</v>
      </c>
      <c r="O34" s="9">
        <v>0.24310999999999999</v>
      </c>
      <c r="P34" s="9">
        <v>101.14</v>
      </c>
      <c r="Q34" s="9">
        <v>4.7879999999999999E-2</v>
      </c>
      <c r="R34" s="9">
        <v>0.55366000000000004</v>
      </c>
      <c r="S34" s="9">
        <v>131.47999999999999</v>
      </c>
      <c r="T34" s="9">
        <v>40.956000000000003</v>
      </c>
      <c r="U34" s="9">
        <v>0.59716000000000002</v>
      </c>
      <c r="V34" s="9">
        <v>0</v>
      </c>
      <c r="W34" s="9">
        <v>36.218000000000004</v>
      </c>
      <c r="X34" s="9">
        <v>17.337</v>
      </c>
      <c r="Y34" s="9">
        <v>0.29385</v>
      </c>
      <c r="AA34" s="19">
        <f t="shared" si="0"/>
        <v>24.615865865865864</v>
      </c>
      <c r="AB34" s="19">
        <f t="shared" si="8"/>
        <v>30.419169169169169</v>
      </c>
      <c r="AC34" s="19">
        <f t="shared" si="2"/>
        <v>1.2653434184184182</v>
      </c>
      <c r="AD34" s="19">
        <f t="shared" si="9"/>
        <v>5.9909909909909915</v>
      </c>
      <c r="AE34" s="19">
        <f t="shared" si="10"/>
        <v>68.879379379379387</v>
      </c>
      <c r="AF34" s="19">
        <f t="shared" si="3"/>
        <v>1.6440736236236233</v>
      </c>
      <c r="AG34" s="19">
        <f t="shared" si="4"/>
        <v>0.51246246246246241</v>
      </c>
      <c r="AH34" s="19">
        <f t="shared" si="11"/>
        <v>74.71971971971972</v>
      </c>
      <c r="AI34" s="19">
        <f t="shared" si="12"/>
        <v>0</v>
      </c>
      <c r="AJ34" s="19">
        <f t="shared" si="5"/>
        <v>0.45261098598598598</v>
      </c>
      <c r="AK34" s="19">
        <f t="shared" si="6"/>
        <v>0.21556541541541541</v>
      </c>
      <c r="AL34" s="19">
        <f t="shared" si="13"/>
        <v>36.768018018018019</v>
      </c>
      <c r="AN34" s="11" t="s">
        <v>91</v>
      </c>
      <c r="AO34" s="9">
        <v>1.2653434184184182</v>
      </c>
      <c r="AP34" s="9">
        <v>0.45261098598598598</v>
      </c>
      <c r="AQ34" s="9">
        <v>0.21556541541541541</v>
      </c>
      <c r="AR34" s="9">
        <v>1.2653434184184182</v>
      </c>
      <c r="AS34" s="9">
        <v>0.45261098598598598</v>
      </c>
      <c r="AT34" s="9">
        <v>0.21556541541541541</v>
      </c>
      <c r="AU34" s="29">
        <v>398.72</v>
      </c>
      <c r="AV34" s="29">
        <v>66</v>
      </c>
      <c r="AW34" s="29">
        <v>46</v>
      </c>
    </row>
    <row r="35" spans="1:49" x14ac:dyDescent="0.2">
      <c r="A35" s="32">
        <v>16</v>
      </c>
      <c r="B35" s="32" t="s">
        <v>116</v>
      </c>
      <c r="C35" s="32"/>
      <c r="D35" s="33">
        <v>3</v>
      </c>
      <c r="E35" s="34">
        <v>2</v>
      </c>
      <c r="F35" s="33" t="s">
        <v>100</v>
      </c>
      <c r="G35" s="33" t="s">
        <v>117</v>
      </c>
      <c r="H35" s="1">
        <v>2</v>
      </c>
      <c r="I35" s="1">
        <v>36</v>
      </c>
      <c r="J35" s="7">
        <v>0.2001</v>
      </c>
      <c r="K35" s="1">
        <v>25</v>
      </c>
      <c r="L35" s="54">
        <f t="shared" si="7"/>
        <v>8.0039999999999996</v>
      </c>
      <c r="M35" s="8" t="s">
        <v>58</v>
      </c>
      <c r="N35" s="9">
        <v>0.15903</v>
      </c>
      <c r="O35" s="9">
        <v>4.1500000000000002E-2</v>
      </c>
      <c r="P35" s="9">
        <v>20.896999999999998</v>
      </c>
      <c r="Q35" s="9">
        <v>5.8540000000000002E-2</v>
      </c>
      <c r="R35" s="9">
        <v>0.58026999999999995</v>
      </c>
      <c r="S35" s="9">
        <v>237.21</v>
      </c>
      <c r="T35" s="9">
        <v>22.145</v>
      </c>
      <c r="U35" s="9">
        <v>0.62607999999999997</v>
      </c>
      <c r="V35" s="9">
        <v>0</v>
      </c>
      <c r="W35" s="9">
        <v>23.321999999999999</v>
      </c>
      <c r="X35" s="9">
        <v>11.688000000000001</v>
      </c>
      <c r="Y35" s="9">
        <v>0.22494</v>
      </c>
      <c r="AA35" s="19">
        <f t="shared" si="0"/>
        <v>19.868815592203898</v>
      </c>
      <c r="AB35" s="19">
        <f t="shared" si="8"/>
        <v>5.1849075462268868</v>
      </c>
      <c r="AC35" s="19">
        <f t="shared" si="2"/>
        <v>0.26091011994002999</v>
      </c>
      <c r="AD35" s="19">
        <f t="shared" si="9"/>
        <v>7.3138430784607698</v>
      </c>
      <c r="AE35" s="19">
        <f t="shared" si="10"/>
        <v>72.100699650174903</v>
      </c>
      <c r="AF35" s="19">
        <f t="shared" si="3"/>
        <v>2.9625732633683159</v>
      </c>
      <c r="AG35" s="19">
        <f t="shared" si="4"/>
        <v>0.27667416291854074</v>
      </c>
      <c r="AH35" s="19">
        <f t="shared" si="11"/>
        <v>78.220889555222385</v>
      </c>
      <c r="AI35" s="19">
        <f t="shared" si="12"/>
        <v>0</v>
      </c>
      <c r="AJ35" s="19">
        <f t="shared" si="5"/>
        <v>0.29081296851574212</v>
      </c>
      <c r="AK35" s="19">
        <f t="shared" si="6"/>
        <v>0.14466501749125438</v>
      </c>
      <c r="AL35" s="19">
        <f t="shared" si="13"/>
        <v>28.103448275862068</v>
      </c>
      <c r="AN35" s="11" t="s">
        <v>100</v>
      </c>
      <c r="AO35" s="9">
        <v>0.26091011994002999</v>
      </c>
      <c r="AP35" s="9">
        <v>0.29081296851574212</v>
      </c>
      <c r="AQ35" s="9">
        <v>0.14466501749125438</v>
      </c>
      <c r="AR35" s="9">
        <v>0.26091011994002999</v>
      </c>
      <c r="AS35" s="9">
        <v>0.29081296851574212</v>
      </c>
      <c r="AT35" s="9">
        <v>0.14466501749125438</v>
      </c>
      <c r="AU35" s="29">
        <v>-16.64</v>
      </c>
      <c r="AV35" s="29">
        <v>133</v>
      </c>
      <c r="AW35" s="29">
        <v>113</v>
      </c>
    </row>
    <row r="36" spans="1:49" x14ac:dyDescent="0.2">
      <c r="A36" s="32">
        <v>17</v>
      </c>
      <c r="B36" s="32" t="s">
        <v>119</v>
      </c>
      <c r="C36" s="32"/>
      <c r="D36" s="33">
        <v>3</v>
      </c>
      <c r="E36" s="34">
        <v>3</v>
      </c>
      <c r="F36" s="33" t="s">
        <v>91</v>
      </c>
      <c r="G36" s="33" t="s">
        <v>117</v>
      </c>
      <c r="H36" s="1">
        <v>1</v>
      </c>
      <c r="I36" s="1">
        <v>37</v>
      </c>
      <c r="J36" s="7">
        <v>0.20069999999999999</v>
      </c>
      <c r="K36" s="1">
        <v>25</v>
      </c>
      <c r="L36" s="54">
        <f t="shared" si="7"/>
        <v>8.0279999999999987</v>
      </c>
      <c r="M36" s="8" t="s">
        <v>59</v>
      </c>
      <c r="N36" s="9">
        <v>0.15078</v>
      </c>
      <c r="O36" s="9">
        <v>0.28009000000000001</v>
      </c>
      <c r="P36" s="9">
        <v>99.683000000000007</v>
      </c>
      <c r="Q36" s="9">
        <v>4.9979999999999997E-2</v>
      </c>
      <c r="R36" s="9">
        <v>0.44888</v>
      </c>
      <c r="S36" s="9">
        <v>127.24</v>
      </c>
      <c r="T36" s="9">
        <v>37.82</v>
      </c>
      <c r="U36" s="9">
        <v>0.87783999999999995</v>
      </c>
      <c r="V36" s="9">
        <v>0</v>
      </c>
      <c r="W36" s="9">
        <v>31.631</v>
      </c>
      <c r="X36" s="9">
        <v>18.186</v>
      </c>
      <c r="Y36" s="9">
        <v>0.31181999999999999</v>
      </c>
      <c r="AA36" s="19">
        <f t="shared" ref="AA36:AA59" si="16">((N36*$K36)-N$77)/$J36</f>
        <v>18.781763826606877</v>
      </c>
      <c r="AB36" s="19">
        <f t="shared" si="8"/>
        <v>34.889138016940713</v>
      </c>
      <c r="AC36" s="19">
        <f t="shared" ref="AC36:AC59" si="17">((P36*$K36)-P$77)/$J36/10000</f>
        <v>1.241520254110613</v>
      </c>
      <c r="AD36" s="19">
        <f t="shared" si="9"/>
        <v>6.2257100149476825</v>
      </c>
      <c r="AE36" s="19">
        <f t="shared" si="10"/>
        <v>55.518684603886399</v>
      </c>
      <c r="AF36" s="19">
        <f t="shared" ref="AF36:AF59" si="18">((S36*$K36)-S$77)/$J36/10000</f>
        <v>1.5838859491778776</v>
      </c>
      <c r="AG36" s="19">
        <f t="shared" ref="AG36:AG59" si="19">((T36*$K36)-T$77)/$J36/10000</f>
        <v>0.47110114598903835</v>
      </c>
      <c r="AH36" s="19">
        <f t="shared" si="11"/>
        <v>109.34728450423518</v>
      </c>
      <c r="AI36" s="19">
        <f t="shared" si="12"/>
        <v>0</v>
      </c>
      <c r="AJ36" s="19">
        <f t="shared" ref="AJ36:AJ59" si="20">((W36*$K36)-W$77)/$J36/10000</f>
        <v>0.39344382162431496</v>
      </c>
      <c r="AK36" s="19">
        <f t="shared" ref="AK36:AK59" si="21">((X36*$K36)-X$77)/$J36/10000</f>
        <v>0.22517424015944193</v>
      </c>
      <c r="AL36" s="19">
        <f t="shared" si="13"/>
        <v>38.841554559043345</v>
      </c>
      <c r="AN36" s="11" t="s">
        <v>91</v>
      </c>
      <c r="AO36" s="9">
        <v>1.241520254110613</v>
      </c>
      <c r="AP36" s="9">
        <v>0.39344382162431496</v>
      </c>
      <c r="AQ36" s="9">
        <v>0.22517424015944193</v>
      </c>
      <c r="AR36" s="9">
        <v>1.241520254110613</v>
      </c>
      <c r="AS36" s="9">
        <v>0.39344382162431496</v>
      </c>
      <c r="AT36" s="9">
        <v>0.22517424015944193</v>
      </c>
      <c r="AU36" s="29">
        <v>13</v>
      </c>
      <c r="AV36" s="29">
        <v>0</v>
      </c>
      <c r="AW36" s="29">
        <v>-20</v>
      </c>
    </row>
    <row r="37" spans="1:49" x14ac:dyDescent="0.2">
      <c r="A37" s="32">
        <v>17</v>
      </c>
      <c r="B37" s="32" t="s">
        <v>116</v>
      </c>
      <c r="C37" s="32"/>
      <c r="D37" s="33">
        <v>3</v>
      </c>
      <c r="E37" s="34">
        <v>3</v>
      </c>
      <c r="F37" s="33" t="s">
        <v>100</v>
      </c>
      <c r="G37" s="33" t="s">
        <v>117</v>
      </c>
      <c r="H37" s="1">
        <v>2</v>
      </c>
      <c r="I37" s="1">
        <v>38</v>
      </c>
      <c r="J37" s="7">
        <v>0.2009</v>
      </c>
      <c r="K37" s="1">
        <v>25</v>
      </c>
      <c r="L37" s="54">
        <f t="shared" si="7"/>
        <v>8.0359999999999996</v>
      </c>
      <c r="M37" s="8" t="s">
        <v>60</v>
      </c>
      <c r="N37" s="9">
        <v>0.28671000000000002</v>
      </c>
      <c r="O37" s="9">
        <v>3.603E-2</v>
      </c>
      <c r="P37" s="9">
        <v>18.488</v>
      </c>
      <c r="Q37" s="9">
        <v>4.9329999999999999E-2</v>
      </c>
      <c r="R37" s="9">
        <v>0.63122</v>
      </c>
      <c r="S37" s="9">
        <v>286.82</v>
      </c>
      <c r="T37" s="9">
        <v>19.419</v>
      </c>
      <c r="U37" s="9">
        <v>0.76073000000000002</v>
      </c>
      <c r="V37" s="9">
        <v>0</v>
      </c>
      <c r="W37" s="9">
        <v>23.623999999999999</v>
      </c>
      <c r="X37" s="9">
        <v>12.907</v>
      </c>
      <c r="Y37" s="9">
        <v>0.26734000000000002</v>
      </c>
      <c r="AA37" s="19">
        <f t="shared" si="16"/>
        <v>35.678198108511701</v>
      </c>
      <c r="AB37" s="19">
        <f t="shared" ref="AB37:AB59" si="22">((O37*$K37)-O$77)/$J37</f>
        <v>4.4835739173718263</v>
      </c>
      <c r="AC37" s="19">
        <f t="shared" si="17"/>
        <v>0.22989355400696865</v>
      </c>
      <c r="AD37" s="19">
        <f t="shared" ref="AD37:AD59" si="23">((Q37*$K37)-Q$77)/$J37</f>
        <v>6.1386261821801895</v>
      </c>
      <c r="AE37" s="19">
        <f t="shared" ref="AE37:AE59" si="24">((R37*$K37)-R$77)/$J37</f>
        <v>78.153807864609263</v>
      </c>
      <c r="AF37" s="19">
        <f t="shared" si="18"/>
        <v>3.5681229965156795</v>
      </c>
      <c r="AG37" s="19">
        <f t="shared" si="19"/>
        <v>0.24165007466401198</v>
      </c>
      <c r="AH37" s="19">
        <f t="shared" ref="AH37:AH59" si="25">((U37*$K37)-U$77)/$J37</f>
        <v>94.665256346441026</v>
      </c>
      <c r="AI37" s="19">
        <f t="shared" ref="AI37:AI59" si="26">((V37*$K37)-V$77)/$J37</f>
        <v>0</v>
      </c>
      <c r="AJ37" s="19">
        <f t="shared" si="20"/>
        <v>0.29341301642608264</v>
      </c>
      <c r="AK37" s="19">
        <f t="shared" si="21"/>
        <v>0.15925818815331011</v>
      </c>
      <c r="AL37" s="19">
        <f t="shared" ref="AL37:AL59" si="27">((Y37*$K37)-Y$77)/$J37</f>
        <v>33.267794922847187</v>
      </c>
      <c r="AN37" s="11" t="s">
        <v>100</v>
      </c>
      <c r="AO37" s="9">
        <v>0.22989355400696865</v>
      </c>
      <c r="AP37" s="9">
        <v>0.29341301642608264</v>
      </c>
      <c r="AQ37" s="9">
        <v>0.15925818815331011</v>
      </c>
      <c r="AR37" s="9">
        <v>0.22989355400696865</v>
      </c>
      <c r="AS37" s="9">
        <v>0.29341301642608264</v>
      </c>
      <c r="AT37" s="9">
        <v>0.15925818815331011</v>
      </c>
      <c r="AU37" s="29">
        <v>3.7199999999999989</v>
      </c>
      <c r="AV37" s="29">
        <v>16</v>
      </c>
      <c r="AW37" s="29">
        <v>-4</v>
      </c>
    </row>
    <row r="38" spans="1:49" x14ac:dyDescent="0.2">
      <c r="A38" s="32">
        <v>18</v>
      </c>
      <c r="B38" s="32" t="s">
        <v>120</v>
      </c>
      <c r="C38" s="32"/>
      <c r="D38" s="33">
        <v>3</v>
      </c>
      <c r="E38" s="34">
        <v>4</v>
      </c>
      <c r="F38" s="33" t="s">
        <v>91</v>
      </c>
      <c r="G38" s="33" t="s">
        <v>115</v>
      </c>
      <c r="H38" s="1">
        <v>1</v>
      </c>
      <c r="I38" s="1">
        <v>39</v>
      </c>
      <c r="J38" s="7">
        <v>0.20100000000000001</v>
      </c>
      <c r="K38" s="1">
        <v>25</v>
      </c>
      <c r="L38" s="54">
        <f t="shared" si="7"/>
        <v>8.0399999999999991</v>
      </c>
      <c r="M38" s="8" t="s">
        <v>61</v>
      </c>
      <c r="N38" s="9">
        <v>0.18858</v>
      </c>
      <c r="O38" s="9">
        <v>0.32417000000000001</v>
      </c>
      <c r="P38" s="9">
        <v>105.04</v>
      </c>
      <c r="Q38" s="9">
        <v>5.1180000000000003E-2</v>
      </c>
      <c r="R38" s="9">
        <v>0.58986000000000005</v>
      </c>
      <c r="S38" s="9">
        <v>150.08000000000001</v>
      </c>
      <c r="T38" s="9">
        <v>34.405999999999999</v>
      </c>
      <c r="U38" s="9">
        <v>1.0301</v>
      </c>
      <c r="V38" s="9">
        <v>0</v>
      </c>
      <c r="W38" s="9">
        <v>42.195</v>
      </c>
      <c r="X38" s="9">
        <v>21.23</v>
      </c>
      <c r="Y38" s="9">
        <v>0.29554999999999998</v>
      </c>
      <c r="AA38" s="19">
        <f t="shared" si="16"/>
        <v>23.455223880597014</v>
      </c>
      <c r="AB38" s="19">
        <f t="shared" si="22"/>
        <v>40.319651741293534</v>
      </c>
      <c r="AC38" s="19">
        <f t="shared" si="17"/>
        <v>1.3062965920398009</v>
      </c>
      <c r="AD38" s="19">
        <f t="shared" si="23"/>
        <v>6.3656716417910451</v>
      </c>
      <c r="AE38" s="19">
        <f t="shared" si="24"/>
        <v>72.970646766169153</v>
      </c>
      <c r="AF38" s="19">
        <f t="shared" si="18"/>
        <v>1.8656015422885575</v>
      </c>
      <c r="AG38" s="19">
        <f t="shared" si="19"/>
        <v>0.42793532338308449</v>
      </c>
      <c r="AH38" s="19">
        <f t="shared" si="25"/>
        <v>128.12189054726369</v>
      </c>
      <c r="AI38" s="19">
        <f t="shared" si="26"/>
        <v>0</v>
      </c>
      <c r="AJ38" s="19">
        <f t="shared" si="20"/>
        <v>0.52424962686567156</v>
      </c>
      <c r="AK38" s="19">
        <f t="shared" si="21"/>
        <v>0.26269885572139307</v>
      </c>
      <c r="AL38" s="19">
        <f t="shared" si="27"/>
        <v>36.759950248756219</v>
      </c>
      <c r="AN38" s="11" t="s">
        <v>91</v>
      </c>
      <c r="AO38" s="9">
        <v>1.3062965920398009</v>
      </c>
      <c r="AP38" s="9">
        <v>0.52424962686567156</v>
      </c>
      <c r="AQ38" s="9">
        <v>0.26269885572139307</v>
      </c>
      <c r="AR38" s="9">
        <v>1.3062965920398009</v>
      </c>
      <c r="AS38" s="9">
        <v>0.52424962686567156</v>
      </c>
      <c r="AT38" s="9">
        <v>0.26269885572139307</v>
      </c>
      <c r="AU38" s="29">
        <v>19</v>
      </c>
      <c r="AV38" s="29">
        <v>0</v>
      </c>
      <c r="AW38" s="29">
        <v>-20</v>
      </c>
    </row>
    <row r="39" spans="1:49" x14ac:dyDescent="0.2">
      <c r="A39" s="32">
        <v>18</v>
      </c>
      <c r="B39" s="32" t="s">
        <v>116</v>
      </c>
      <c r="C39" s="32"/>
      <c r="D39" s="33">
        <v>3</v>
      </c>
      <c r="E39" s="34">
        <v>4</v>
      </c>
      <c r="F39" s="33" t="s">
        <v>100</v>
      </c>
      <c r="G39" s="33" t="s">
        <v>117</v>
      </c>
      <c r="H39" s="1">
        <v>2</v>
      </c>
      <c r="I39" s="1">
        <v>40</v>
      </c>
      <c r="J39" s="7">
        <v>0.20050000000000001</v>
      </c>
      <c r="K39" s="1">
        <v>25</v>
      </c>
      <c r="L39" s="54">
        <f t="shared" si="7"/>
        <v>8.02</v>
      </c>
      <c r="M39" s="8" t="s">
        <v>62</v>
      </c>
      <c r="N39" s="9">
        <v>0.13457</v>
      </c>
      <c r="O39" s="9">
        <v>4.3729999999999998E-2</v>
      </c>
      <c r="P39" s="9">
        <v>20.251000000000001</v>
      </c>
      <c r="Q39" s="9">
        <v>4.6640000000000001E-2</v>
      </c>
      <c r="R39" s="9">
        <v>0.46145999999999998</v>
      </c>
      <c r="S39" s="9">
        <v>230.8</v>
      </c>
      <c r="T39" s="9">
        <v>18.722999999999999</v>
      </c>
      <c r="U39" s="9">
        <v>0.75980999999999999</v>
      </c>
      <c r="V39" s="9">
        <v>0</v>
      </c>
      <c r="W39" s="9">
        <v>23.231999999999999</v>
      </c>
      <c r="X39" s="9">
        <v>9.9499999999999993</v>
      </c>
      <c r="Y39" s="9">
        <v>0.25339</v>
      </c>
      <c r="AA39" s="19">
        <f t="shared" si="16"/>
        <v>16.779301745635909</v>
      </c>
      <c r="AB39" s="19">
        <f t="shared" si="22"/>
        <v>5.4526184538653366</v>
      </c>
      <c r="AC39" s="19">
        <f t="shared" si="17"/>
        <v>0.25233473815461349</v>
      </c>
      <c r="AD39" s="19">
        <f t="shared" si="23"/>
        <v>5.8154613466334162</v>
      </c>
      <c r="AE39" s="19">
        <f t="shared" si="24"/>
        <v>57.142643391521197</v>
      </c>
      <c r="AF39" s="19">
        <f t="shared" si="18"/>
        <v>2.8767377057356605</v>
      </c>
      <c r="AG39" s="19">
        <f t="shared" si="19"/>
        <v>0.23345386533665832</v>
      </c>
      <c r="AH39" s="19">
        <f t="shared" si="25"/>
        <v>94.739401496259333</v>
      </c>
      <c r="AI39" s="19">
        <f t="shared" si="26"/>
        <v>0</v>
      </c>
      <c r="AJ39" s="19">
        <f t="shared" si="20"/>
        <v>0.28911059850374066</v>
      </c>
      <c r="AK39" s="19">
        <f t="shared" si="21"/>
        <v>0.1227055860349127</v>
      </c>
      <c r="AL39" s="19">
        <f t="shared" si="27"/>
        <v>31.594763092269321</v>
      </c>
      <c r="AN39" s="11" t="s">
        <v>100</v>
      </c>
      <c r="AO39" s="9">
        <v>0.25233473815461349</v>
      </c>
      <c r="AP39" s="9">
        <v>0.28911059850374066</v>
      </c>
      <c r="AQ39" s="9">
        <v>0.1227055860349127</v>
      </c>
      <c r="AR39" s="9">
        <v>0.25233473815461349</v>
      </c>
      <c r="AS39" s="9">
        <v>0.28911059850374066</v>
      </c>
      <c r="AT39" s="9">
        <v>0.1227055860349127</v>
      </c>
      <c r="AU39" s="29">
        <v>-12.079999999999998</v>
      </c>
      <c r="AV39" s="29">
        <v>51</v>
      </c>
      <c r="AW39" s="29">
        <v>31</v>
      </c>
    </row>
    <row r="40" spans="1:49" x14ac:dyDescent="0.2">
      <c r="A40" s="32">
        <v>19</v>
      </c>
      <c r="B40" s="32" t="s">
        <v>121</v>
      </c>
      <c r="C40" s="32"/>
      <c r="D40" s="33">
        <v>3</v>
      </c>
      <c r="E40" s="34">
        <v>5</v>
      </c>
      <c r="F40" s="33" t="s">
        <v>100</v>
      </c>
      <c r="G40" s="33" t="s">
        <v>117</v>
      </c>
      <c r="H40" s="1">
        <v>1</v>
      </c>
      <c r="I40" s="1">
        <v>41</v>
      </c>
      <c r="J40" s="7">
        <v>0.1996</v>
      </c>
      <c r="K40" s="1">
        <v>25</v>
      </c>
      <c r="L40" s="54">
        <f t="shared" si="7"/>
        <v>7.984</v>
      </c>
      <c r="M40" s="8" t="s">
        <v>63</v>
      </c>
      <c r="N40" s="9">
        <v>0.73670000000000002</v>
      </c>
      <c r="O40" s="9">
        <v>3.8089999999999999E-2</v>
      </c>
      <c r="P40" s="9">
        <v>22.370999999999999</v>
      </c>
      <c r="Q40" s="9">
        <v>4.861E-2</v>
      </c>
      <c r="R40" s="9">
        <v>1.1034999999999999</v>
      </c>
      <c r="S40" s="9">
        <v>270.12</v>
      </c>
      <c r="T40" s="9">
        <v>22.416</v>
      </c>
      <c r="U40" s="9">
        <v>0.64481999999999995</v>
      </c>
      <c r="V40" s="9">
        <v>0</v>
      </c>
      <c r="W40" s="9">
        <v>20.617000000000001</v>
      </c>
      <c r="X40" s="9">
        <v>11.305999999999999</v>
      </c>
      <c r="Y40" s="9">
        <v>0.16925999999999999</v>
      </c>
      <c r="AA40" s="19">
        <f t="shared" si="16"/>
        <v>92.272044088176358</v>
      </c>
      <c r="AB40" s="19">
        <f t="shared" si="22"/>
        <v>4.7707915831663321</v>
      </c>
      <c r="AC40" s="19">
        <f t="shared" si="17"/>
        <v>0.28002562625250504</v>
      </c>
      <c r="AD40" s="19">
        <f t="shared" si="23"/>
        <v>6.0884268537074142</v>
      </c>
      <c r="AE40" s="19">
        <f t="shared" si="24"/>
        <v>137.81613226452905</v>
      </c>
      <c r="AF40" s="19">
        <f t="shared" si="18"/>
        <v>3.3821939378757508</v>
      </c>
      <c r="AG40" s="19">
        <f t="shared" si="19"/>
        <v>0.2807615230460922</v>
      </c>
      <c r="AH40" s="19">
        <f t="shared" si="25"/>
        <v>80.764028056112224</v>
      </c>
      <c r="AI40" s="19">
        <f t="shared" si="26"/>
        <v>0</v>
      </c>
      <c r="AJ40" s="19">
        <f t="shared" si="20"/>
        <v>0.25766119739478965</v>
      </c>
      <c r="AK40" s="19">
        <f t="shared" si="21"/>
        <v>0.14024283567134266</v>
      </c>
      <c r="AL40" s="19">
        <f t="shared" si="27"/>
        <v>21.199899799599198</v>
      </c>
      <c r="AN40" s="11" t="s">
        <v>100</v>
      </c>
      <c r="AO40" s="9">
        <v>0.28002562625250504</v>
      </c>
      <c r="AP40" s="9">
        <v>0.25766119739478965</v>
      </c>
      <c r="AQ40" s="9">
        <v>0.14024283567134266</v>
      </c>
      <c r="AU40" s="29">
        <v>-13.920000000000002</v>
      </c>
      <c r="AV40" s="29">
        <v>74</v>
      </c>
      <c r="AW40" s="29">
        <v>54</v>
      </c>
    </row>
    <row r="41" spans="1:49" x14ac:dyDescent="0.2">
      <c r="A41" s="32">
        <v>19</v>
      </c>
      <c r="B41" s="32" t="s">
        <v>122</v>
      </c>
      <c r="C41" s="32"/>
      <c r="D41" s="33">
        <v>3</v>
      </c>
      <c r="E41" s="34">
        <v>5</v>
      </c>
      <c r="F41" s="33" t="s">
        <v>100</v>
      </c>
      <c r="G41" s="33" t="s">
        <v>117</v>
      </c>
      <c r="H41" s="1">
        <v>2</v>
      </c>
      <c r="I41" s="1">
        <v>42</v>
      </c>
      <c r="J41" s="7">
        <v>0.20180000000000001</v>
      </c>
      <c r="K41" s="1">
        <v>25</v>
      </c>
      <c r="L41" s="54">
        <f t="shared" si="7"/>
        <v>8.072000000000001</v>
      </c>
      <c r="M41" s="8" t="s">
        <v>64</v>
      </c>
      <c r="N41" s="9">
        <v>0.13669999999999999</v>
      </c>
      <c r="O41" s="9">
        <v>4.4400000000000002E-2</v>
      </c>
      <c r="P41" s="9">
        <v>23.62</v>
      </c>
      <c r="Q41" s="9">
        <v>5.8049999999999997E-2</v>
      </c>
      <c r="R41" s="9">
        <v>0.58411000000000002</v>
      </c>
      <c r="S41" s="9">
        <v>266.89</v>
      </c>
      <c r="T41" s="9">
        <v>22.712</v>
      </c>
      <c r="U41" s="9">
        <v>0.71557000000000004</v>
      </c>
      <c r="V41" s="9">
        <v>0</v>
      </c>
      <c r="W41" s="9">
        <v>24.928999999999998</v>
      </c>
      <c r="X41" s="9">
        <v>12.500999999999999</v>
      </c>
      <c r="Y41" s="9">
        <v>0.21396999999999999</v>
      </c>
      <c r="AA41" s="19">
        <f t="shared" si="16"/>
        <v>16.935084241823585</v>
      </c>
      <c r="AB41" s="19">
        <f t="shared" si="22"/>
        <v>5.5004955401387514</v>
      </c>
      <c r="AC41" s="19">
        <f t="shared" si="17"/>
        <v>0.29244606045589694</v>
      </c>
      <c r="AD41" s="19">
        <f t="shared" si="23"/>
        <v>7.1915262636273534</v>
      </c>
      <c r="AE41" s="19">
        <f t="shared" si="24"/>
        <v>71.969028741328046</v>
      </c>
      <c r="AF41" s="19">
        <f t="shared" si="18"/>
        <v>3.3053067888999008</v>
      </c>
      <c r="AG41" s="19">
        <f t="shared" si="19"/>
        <v>0.28136769078295337</v>
      </c>
      <c r="AH41" s="19">
        <f t="shared" si="25"/>
        <v>88.648414271555993</v>
      </c>
      <c r="AI41" s="19">
        <f t="shared" si="26"/>
        <v>0</v>
      </c>
      <c r="AJ41" s="19">
        <f t="shared" si="20"/>
        <v>0.30827143211100094</v>
      </c>
      <c r="AK41" s="19">
        <f t="shared" si="21"/>
        <v>0.15351818632309214</v>
      </c>
      <c r="AL41" s="19">
        <f t="shared" si="27"/>
        <v>26.50768087215064</v>
      </c>
      <c r="AN41" s="11" t="s">
        <v>100</v>
      </c>
      <c r="AO41" s="9">
        <v>0.29244606045589694</v>
      </c>
      <c r="AP41" s="9">
        <v>0.30827143211100094</v>
      </c>
      <c r="AQ41" s="9">
        <v>0.15351818632309214</v>
      </c>
      <c r="AU41" s="29">
        <v>10.280000000000001</v>
      </c>
      <c r="AV41" s="29">
        <v>34</v>
      </c>
      <c r="AW41" s="29">
        <v>14</v>
      </c>
    </row>
    <row r="42" spans="1:49" x14ac:dyDescent="0.2">
      <c r="A42" s="32">
        <v>20</v>
      </c>
      <c r="B42" s="32" t="s">
        <v>123</v>
      </c>
      <c r="C42" s="32"/>
      <c r="D42" s="33">
        <v>3</v>
      </c>
      <c r="E42" s="34">
        <v>6</v>
      </c>
      <c r="F42" s="33" t="s">
        <v>91</v>
      </c>
      <c r="G42" s="33" t="s">
        <v>115</v>
      </c>
      <c r="H42" s="1">
        <v>1</v>
      </c>
      <c r="I42" s="1">
        <v>43</v>
      </c>
      <c r="J42" s="7">
        <v>0.2001</v>
      </c>
      <c r="K42" s="1">
        <v>25</v>
      </c>
      <c r="L42" s="54">
        <f t="shared" si="7"/>
        <v>8.0039999999999996</v>
      </c>
      <c r="M42" s="8" t="s">
        <v>65</v>
      </c>
      <c r="N42" s="9">
        <v>0.43286999999999998</v>
      </c>
      <c r="O42" s="9">
        <v>0.23774000000000001</v>
      </c>
      <c r="P42" s="9">
        <v>113.47</v>
      </c>
      <c r="Q42" s="9">
        <v>6.0830000000000002E-2</v>
      </c>
      <c r="R42" s="9">
        <v>0.85241</v>
      </c>
      <c r="S42" s="9">
        <v>156.31</v>
      </c>
      <c r="T42" s="9">
        <v>43.81</v>
      </c>
      <c r="U42" s="9">
        <v>1.0865</v>
      </c>
      <c r="V42" s="9">
        <v>0</v>
      </c>
      <c r="W42" s="9">
        <v>48.72</v>
      </c>
      <c r="X42" s="9">
        <v>21.620999999999999</v>
      </c>
      <c r="Y42" s="9">
        <v>0.28278999999999999</v>
      </c>
      <c r="AA42" s="19">
        <f t="shared" si="16"/>
        <v>54.081709145427283</v>
      </c>
      <c r="AB42" s="19">
        <f t="shared" si="22"/>
        <v>29.702648675662171</v>
      </c>
      <c r="AC42" s="19">
        <f t="shared" si="17"/>
        <v>1.4174943278360819</v>
      </c>
      <c r="AD42" s="19">
        <f t="shared" si="23"/>
        <v>7.599950024987506</v>
      </c>
      <c r="AE42" s="19">
        <f t="shared" si="24"/>
        <v>106.10119940029985</v>
      </c>
      <c r="AF42" s="19">
        <f t="shared" si="18"/>
        <v>1.951828635682159</v>
      </c>
      <c r="AG42" s="19">
        <f t="shared" si="19"/>
        <v>0.54735132433783107</v>
      </c>
      <c r="AH42" s="19">
        <f t="shared" si="25"/>
        <v>135.74462768615692</v>
      </c>
      <c r="AI42" s="19">
        <f t="shared" si="26"/>
        <v>0</v>
      </c>
      <c r="AJ42" s="19">
        <f t="shared" si="20"/>
        <v>0.60812931034482753</v>
      </c>
      <c r="AK42" s="19">
        <f t="shared" si="21"/>
        <v>0.26876546726636685</v>
      </c>
      <c r="AL42" s="19">
        <f t="shared" si="27"/>
        <v>35.331084457771112</v>
      </c>
      <c r="AN42" s="11" t="s">
        <v>91</v>
      </c>
      <c r="AO42" s="9">
        <v>1.4174943278360819</v>
      </c>
      <c r="AP42" s="9">
        <v>0.60812931034482753</v>
      </c>
      <c r="AQ42" s="9">
        <v>0.26876546726636685</v>
      </c>
      <c r="AU42" s="29">
        <v>-7.3999999999999986</v>
      </c>
      <c r="AV42" s="29">
        <v>80</v>
      </c>
      <c r="AW42" s="29">
        <v>60</v>
      </c>
    </row>
    <row r="43" spans="1:49" x14ac:dyDescent="0.2">
      <c r="A43" s="32">
        <v>20</v>
      </c>
      <c r="B43" s="32" t="s">
        <v>124</v>
      </c>
      <c r="C43" s="32"/>
      <c r="D43" s="33">
        <v>3</v>
      </c>
      <c r="E43" s="34">
        <v>6</v>
      </c>
      <c r="F43" s="33" t="s">
        <v>91</v>
      </c>
      <c r="G43" s="33" t="s">
        <v>115</v>
      </c>
      <c r="H43" s="1">
        <v>2</v>
      </c>
      <c r="I43" s="1">
        <v>46</v>
      </c>
      <c r="J43" s="7">
        <v>0.2</v>
      </c>
      <c r="K43" s="1">
        <v>25</v>
      </c>
      <c r="L43" s="54">
        <f t="shared" si="7"/>
        <v>8</v>
      </c>
      <c r="M43" s="8" t="s">
        <v>68</v>
      </c>
      <c r="N43" s="9">
        <v>9.5329999999999998E-2</v>
      </c>
      <c r="O43" s="9">
        <v>0.25466</v>
      </c>
      <c r="P43" s="9">
        <v>107.85</v>
      </c>
      <c r="Q43" s="9">
        <v>4.446E-2</v>
      </c>
      <c r="R43" s="9">
        <v>0.52170000000000005</v>
      </c>
      <c r="S43" s="9">
        <v>148.81</v>
      </c>
      <c r="T43" s="9">
        <v>42.613</v>
      </c>
      <c r="U43" s="9">
        <v>0.95662000000000003</v>
      </c>
      <c r="V43" s="9">
        <v>1.6240000000000001E-2</v>
      </c>
      <c r="W43" s="9">
        <v>40.334000000000003</v>
      </c>
      <c r="X43" s="9">
        <v>19.273</v>
      </c>
      <c r="Y43" s="9">
        <v>0.29915000000000003</v>
      </c>
      <c r="AA43" s="19">
        <f t="shared" si="16"/>
        <v>11.916249999999998</v>
      </c>
      <c r="AB43" s="19">
        <f t="shared" si="22"/>
        <v>31.8325</v>
      </c>
      <c r="AC43" s="19">
        <f t="shared" si="17"/>
        <v>1.3479530749999997</v>
      </c>
      <c r="AD43" s="19">
        <f t="shared" si="23"/>
        <v>5.5574999999999992</v>
      </c>
      <c r="AE43" s="19">
        <f t="shared" si="24"/>
        <v>64.8155</v>
      </c>
      <c r="AF43" s="19">
        <f t="shared" si="18"/>
        <v>1.85905455</v>
      </c>
      <c r="AG43" s="19">
        <f t="shared" si="19"/>
        <v>0.53266250000000004</v>
      </c>
      <c r="AH43" s="19">
        <f t="shared" si="25"/>
        <v>119.5775</v>
      </c>
      <c r="AI43" s="19">
        <f t="shared" si="26"/>
        <v>2.0299999999999998</v>
      </c>
      <c r="AJ43" s="19">
        <f t="shared" si="20"/>
        <v>0.50360837500000011</v>
      </c>
      <c r="AK43" s="19">
        <f t="shared" si="21"/>
        <v>0.23954984999999998</v>
      </c>
      <c r="AL43" s="19">
        <f t="shared" si="27"/>
        <v>37.393750000000004</v>
      </c>
      <c r="AN43" s="11" t="s">
        <v>91</v>
      </c>
      <c r="AO43" s="9">
        <v>1.3479530749999997</v>
      </c>
      <c r="AP43" s="9">
        <v>0.50360837500000011</v>
      </c>
      <c r="AQ43" s="9">
        <v>0.23954984999999998</v>
      </c>
      <c r="AU43" s="29">
        <v>132.6</v>
      </c>
      <c r="AV43" s="29">
        <v>55</v>
      </c>
      <c r="AW43" s="29">
        <v>35</v>
      </c>
    </row>
    <row r="44" spans="1:49" x14ac:dyDescent="0.2">
      <c r="A44" s="32">
        <v>21</v>
      </c>
      <c r="B44" s="32" t="s">
        <v>125</v>
      </c>
      <c r="C44" s="32"/>
      <c r="D44" s="33">
        <v>3</v>
      </c>
      <c r="E44" s="34">
        <v>7</v>
      </c>
      <c r="F44" s="33" t="s">
        <v>91</v>
      </c>
      <c r="G44" s="33" t="s">
        <v>117</v>
      </c>
      <c r="H44" s="1">
        <v>1</v>
      </c>
      <c r="I44" s="1">
        <v>47</v>
      </c>
      <c r="J44" s="7">
        <v>0.20180000000000001</v>
      </c>
      <c r="K44" s="1">
        <v>25</v>
      </c>
      <c r="L44" s="54">
        <f t="shared" si="7"/>
        <v>8.072000000000001</v>
      </c>
      <c r="M44" s="8" t="s">
        <v>69</v>
      </c>
      <c r="N44" s="9">
        <v>0.24403</v>
      </c>
      <c r="O44" s="9">
        <v>0.34694000000000003</v>
      </c>
      <c r="P44" s="9">
        <v>131.79</v>
      </c>
      <c r="Q44" s="9">
        <v>7.7950000000000005E-2</v>
      </c>
      <c r="R44" s="9">
        <v>0.55771999999999999</v>
      </c>
      <c r="S44" s="9">
        <v>123.64</v>
      </c>
      <c r="T44" s="9">
        <v>42.317999999999998</v>
      </c>
      <c r="U44" s="9">
        <v>1.377</v>
      </c>
      <c r="V44" s="9">
        <v>0</v>
      </c>
      <c r="W44" s="9">
        <v>41.887999999999998</v>
      </c>
      <c r="X44" s="9">
        <v>19.84</v>
      </c>
      <c r="Y44" s="9">
        <v>0.51439999999999997</v>
      </c>
      <c r="AA44" s="19">
        <f t="shared" si="16"/>
        <v>30.231665014866202</v>
      </c>
      <c r="AB44" s="19">
        <f t="shared" si="22"/>
        <v>42.980673934588701</v>
      </c>
      <c r="AC44" s="19">
        <f t="shared" si="17"/>
        <v>1.6325104806739343</v>
      </c>
      <c r="AD44" s="19">
        <f t="shared" si="23"/>
        <v>9.6568384539147676</v>
      </c>
      <c r="AE44" s="19">
        <f t="shared" si="24"/>
        <v>68.69970267591674</v>
      </c>
      <c r="AF44" s="19">
        <f t="shared" si="18"/>
        <v>1.5306536669970268</v>
      </c>
      <c r="AG44" s="19">
        <f t="shared" si="19"/>
        <v>0.52425668979187312</v>
      </c>
      <c r="AH44" s="19">
        <f t="shared" si="25"/>
        <v>170.58969276511397</v>
      </c>
      <c r="AI44" s="19">
        <f t="shared" si="26"/>
        <v>0</v>
      </c>
      <c r="AJ44" s="19">
        <f t="shared" si="20"/>
        <v>0.51836806243805744</v>
      </c>
      <c r="AK44" s="19">
        <f t="shared" si="21"/>
        <v>0.24443741328047572</v>
      </c>
      <c r="AL44" s="19">
        <f t="shared" si="27"/>
        <v>63.726461843409311</v>
      </c>
      <c r="AN44" s="11" t="s">
        <v>91</v>
      </c>
      <c r="AO44" s="9">
        <v>1.6325104806739343</v>
      </c>
      <c r="AP44" s="9">
        <v>0.51836806243805744</v>
      </c>
      <c r="AQ44" s="9">
        <v>0.24443741328047572</v>
      </c>
      <c r="AU44" s="29">
        <v>-22.16</v>
      </c>
      <c r="AV44" s="29">
        <v>77</v>
      </c>
      <c r="AW44" s="29">
        <v>57</v>
      </c>
    </row>
    <row r="45" spans="1:49" x14ac:dyDescent="0.2">
      <c r="A45" s="32">
        <v>21</v>
      </c>
      <c r="B45" s="32" t="s">
        <v>126</v>
      </c>
      <c r="C45" s="32"/>
      <c r="D45" s="33">
        <v>3</v>
      </c>
      <c r="E45" s="34">
        <v>7</v>
      </c>
      <c r="F45" s="33" t="s">
        <v>91</v>
      </c>
      <c r="G45" s="33" t="s">
        <v>117</v>
      </c>
      <c r="H45" s="1">
        <v>2</v>
      </c>
      <c r="I45" s="1">
        <v>48</v>
      </c>
      <c r="J45" s="7">
        <v>0.19950000000000001</v>
      </c>
      <c r="K45" s="1">
        <v>25</v>
      </c>
      <c r="L45" s="54">
        <f t="shared" si="7"/>
        <v>7.98</v>
      </c>
      <c r="M45" s="8" t="s">
        <v>70</v>
      </c>
      <c r="N45" s="9">
        <v>3.5459999999999998E-2</v>
      </c>
      <c r="O45" s="9">
        <v>0.25306000000000001</v>
      </c>
      <c r="P45" s="9">
        <v>87.995999999999995</v>
      </c>
      <c r="Q45" s="9">
        <v>7.3469999999999994E-2</v>
      </c>
      <c r="R45" s="9">
        <v>0.31220999999999999</v>
      </c>
      <c r="S45" s="9">
        <v>125.3</v>
      </c>
      <c r="T45" s="9">
        <v>37.341999999999999</v>
      </c>
      <c r="U45" s="9">
        <v>0.94382999999999995</v>
      </c>
      <c r="V45" s="9">
        <v>0</v>
      </c>
      <c r="W45" s="9">
        <v>38.712000000000003</v>
      </c>
      <c r="X45" s="9">
        <v>18.009</v>
      </c>
      <c r="Y45" s="9">
        <v>0.33362000000000003</v>
      </c>
      <c r="AA45" s="19">
        <f t="shared" si="16"/>
        <v>4.4436090225563909</v>
      </c>
      <c r="AB45" s="19">
        <f t="shared" si="22"/>
        <v>31.711779448621552</v>
      </c>
      <c r="AC45" s="19">
        <f t="shared" si="17"/>
        <v>1.1025344110275688</v>
      </c>
      <c r="AD45" s="19">
        <f t="shared" si="23"/>
        <v>9.2067669172932316</v>
      </c>
      <c r="AE45" s="19">
        <f t="shared" si="24"/>
        <v>38.726065162907268</v>
      </c>
      <c r="AF45" s="19">
        <f t="shared" si="18"/>
        <v>1.5691023057644109</v>
      </c>
      <c r="AG45" s="19">
        <f t="shared" si="19"/>
        <v>0.46794486215538844</v>
      </c>
      <c r="AH45" s="19">
        <f t="shared" si="25"/>
        <v>118.27443609022555</v>
      </c>
      <c r="AI45" s="19">
        <f t="shared" si="26"/>
        <v>0</v>
      </c>
      <c r="AJ45" s="19">
        <f t="shared" si="20"/>
        <v>0.48454473684210525</v>
      </c>
      <c r="AK45" s="19">
        <f t="shared" si="21"/>
        <v>0.22431062656641601</v>
      </c>
      <c r="AL45" s="19">
        <f t="shared" si="27"/>
        <v>41.807017543859651</v>
      </c>
      <c r="AN45" s="11" t="s">
        <v>91</v>
      </c>
      <c r="AO45" s="9">
        <v>1.1025344110275688</v>
      </c>
      <c r="AP45" s="9">
        <v>0.48454473684210525</v>
      </c>
      <c r="AQ45" s="9">
        <v>0.22431062656641601</v>
      </c>
      <c r="AU45" s="29">
        <v>17</v>
      </c>
      <c r="AV45" s="29">
        <v>0</v>
      </c>
      <c r="AW45" s="29">
        <v>-20</v>
      </c>
    </row>
    <row r="46" spans="1:49" x14ac:dyDescent="0.2">
      <c r="A46" s="32">
        <v>22</v>
      </c>
      <c r="B46" s="32" t="s">
        <v>114</v>
      </c>
      <c r="C46" s="32"/>
      <c r="D46" s="33">
        <v>4</v>
      </c>
      <c r="E46" s="34">
        <v>1</v>
      </c>
      <c r="F46" s="33" t="s">
        <v>91</v>
      </c>
      <c r="G46" s="33" t="s">
        <v>115</v>
      </c>
      <c r="H46" s="1">
        <v>1</v>
      </c>
      <c r="I46" s="1">
        <v>49</v>
      </c>
      <c r="J46" s="7">
        <v>0.1993</v>
      </c>
      <c r="K46" s="1">
        <v>25</v>
      </c>
      <c r="L46" s="54">
        <f t="shared" si="7"/>
        <v>7.9720000000000004</v>
      </c>
      <c r="M46" s="8" t="s">
        <v>71</v>
      </c>
      <c r="N46" s="9">
        <v>0.11901</v>
      </c>
      <c r="O46" s="9">
        <v>0.29837999999999998</v>
      </c>
      <c r="P46" s="9">
        <v>99.796000000000006</v>
      </c>
      <c r="Q46" s="9">
        <v>4.9230000000000003E-2</v>
      </c>
      <c r="R46" s="9">
        <v>0.49464000000000002</v>
      </c>
      <c r="S46" s="9">
        <v>159.55000000000001</v>
      </c>
      <c r="T46" s="9">
        <v>35.636000000000003</v>
      </c>
      <c r="U46" s="9">
        <v>0.81962999999999997</v>
      </c>
      <c r="V46" s="9">
        <v>0</v>
      </c>
      <c r="W46" s="9">
        <v>38.283999999999999</v>
      </c>
      <c r="X46" s="9">
        <v>19.574000000000002</v>
      </c>
      <c r="Y46" s="9">
        <v>0.26912999999999998</v>
      </c>
      <c r="AA46" s="19">
        <f t="shared" si="16"/>
        <v>14.928499749121926</v>
      </c>
      <c r="AB46" s="19">
        <f t="shared" si="22"/>
        <v>37.428499749121926</v>
      </c>
      <c r="AC46" s="19">
        <f t="shared" si="17"/>
        <v>1.2516588810837932</v>
      </c>
      <c r="AD46" s="19">
        <f t="shared" si="23"/>
        <v>6.1753637732062217</v>
      </c>
      <c r="AE46" s="19">
        <f t="shared" si="24"/>
        <v>61.648770697441051</v>
      </c>
      <c r="AF46" s="19">
        <f t="shared" si="18"/>
        <v>2.0003056196688411</v>
      </c>
      <c r="AG46" s="19">
        <f t="shared" si="19"/>
        <v>0.44701455092824888</v>
      </c>
      <c r="AH46" s="19">
        <f t="shared" si="25"/>
        <v>102.81359759157048</v>
      </c>
      <c r="AI46" s="19">
        <f t="shared" si="26"/>
        <v>0</v>
      </c>
      <c r="AJ46" s="19">
        <f t="shared" si="20"/>
        <v>0.47966219267436028</v>
      </c>
      <c r="AK46" s="19">
        <f t="shared" si="21"/>
        <v>0.24416693426994479</v>
      </c>
      <c r="AL46" s="19">
        <f t="shared" si="27"/>
        <v>33.759407927747112</v>
      </c>
      <c r="AN46" s="11" t="s">
        <v>91</v>
      </c>
      <c r="AO46" s="9">
        <v>1.2516588810837932</v>
      </c>
      <c r="AP46" s="9">
        <v>0.47966219267436028</v>
      </c>
      <c r="AQ46" s="9">
        <v>0.24416693426994479</v>
      </c>
      <c r="AU46" s="29">
        <v>338</v>
      </c>
      <c r="AV46" s="29">
        <v>0</v>
      </c>
      <c r="AW46" s="29">
        <v>-20</v>
      </c>
    </row>
    <row r="47" spans="1:49" x14ac:dyDescent="0.2">
      <c r="A47" s="32">
        <v>22</v>
      </c>
      <c r="B47" s="32" t="s">
        <v>116</v>
      </c>
      <c r="C47" s="32"/>
      <c r="D47" s="33">
        <v>4</v>
      </c>
      <c r="E47" s="34">
        <v>1</v>
      </c>
      <c r="F47" s="33" t="s">
        <v>100</v>
      </c>
      <c r="G47" s="33" t="s">
        <v>117</v>
      </c>
      <c r="H47" s="1">
        <v>2</v>
      </c>
      <c r="I47" s="1">
        <v>50</v>
      </c>
      <c r="J47" s="7">
        <v>0.2</v>
      </c>
      <c r="K47" s="1">
        <v>25</v>
      </c>
      <c r="L47" s="54">
        <f t="shared" si="7"/>
        <v>8</v>
      </c>
      <c r="M47" s="8" t="s">
        <v>72</v>
      </c>
      <c r="N47" s="9">
        <v>0.21392</v>
      </c>
      <c r="O47" s="9">
        <v>3.7810000000000003E-2</v>
      </c>
      <c r="P47" s="9">
        <v>22.404</v>
      </c>
      <c r="Q47" s="9">
        <v>7.0279999999999995E-2</v>
      </c>
      <c r="R47" s="9">
        <v>0.72192999999999996</v>
      </c>
      <c r="S47" s="9">
        <v>272.69</v>
      </c>
      <c r="T47" s="9">
        <v>24.085000000000001</v>
      </c>
      <c r="U47" s="9">
        <v>0.73921000000000003</v>
      </c>
      <c r="V47" s="9">
        <v>0</v>
      </c>
      <c r="W47" s="9">
        <v>31.553999999999998</v>
      </c>
      <c r="X47" s="9">
        <v>14.428000000000001</v>
      </c>
      <c r="Y47" s="9">
        <v>0.24146999999999999</v>
      </c>
      <c r="AA47" s="19">
        <f t="shared" si="16"/>
        <v>26.74</v>
      </c>
      <c r="AB47" s="19">
        <f t="shared" si="22"/>
        <v>4.7262500000000003</v>
      </c>
      <c r="AC47" s="19">
        <f t="shared" si="17"/>
        <v>0.279878075</v>
      </c>
      <c r="AD47" s="19">
        <f t="shared" si="23"/>
        <v>8.7849999999999984</v>
      </c>
      <c r="AE47" s="19">
        <f t="shared" si="24"/>
        <v>89.844249999999988</v>
      </c>
      <c r="AF47" s="19">
        <f t="shared" si="18"/>
        <v>3.4075545499999991</v>
      </c>
      <c r="AG47" s="19">
        <f t="shared" si="19"/>
        <v>0.30106250000000001</v>
      </c>
      <c r="AH47" s="19">
        <f t="shared" si="25"/>
        <v>92.401250000000005</v>
      </c>
      <c r="AI47" s="19">
        <f t="shared" si="26"/>
        <v>0</v>
      </c>
      <c r="AJ47" s="19">
        <f t="shared" si="20"/>
        <v>0.39385837499999993</v>
      </c>
      <c r="AK47" s="19">
        <f t="shared" si="21"/>
        <v>0.17898735000000002</v>
      </c>
      <c r="AL47" s="19">
        <f t="shared" si="27"/>
        <v>30.183749999999996</v>
      </c>
      <c r="AN47" s="11" t="s">
        <v>100</v>
      </c>
      <c r="AO47" s="9">
        <v>0.279878075</v>
      </c>
      <c r="AP47" s="9">
        <v>0.39385837499999993</v>
      </c>
      <c r="AQ47" s="9">
        <v>0.17898735000000002</v>
      </c>
      <c r="AU47" s="29">
        <v>16.560000000000002</v>
      </c>
      <c r="AV47" s="29">
        <v>18</v>
      </c>
      <c r="AW47" s="29">
        <v>-2</v>
      </c>
    </row>
    <row r="48" spans="1:49" x14ac:dyDescent="0.2">
      <c r="A48" s="32">
        <v>23</v>
      </c>
      <c r="B48" s="32" t="s">
        <v>118</v>
      </c>
      <c r="C48" s="32"/>
      <c r="D48" s="33">
        <v>4</v>
      </c>
      <c r="E48" s="34">
        <v>2</v>
      </c>
      <c r="F48" s="33" t="s">
        <v>91</v>
      </c>
      <c r="G48" s="33" t="s">
        <v>117</v>
      </c>
      <c r="H48" s="1">
        <v>1</v>
      </c>
      <c r="I48" s="1">
        <v>51</v>
      </c>
      <c r="J48" s="7">
        <v>0.1993</v>
      </c>
      <c r="K48" s="1">
        <v>25</v>
      </c>
      <c r="L48" s="54">
        <f t="shared" si="7"/>
        <v>7.9720000000000004</v>
      </c>
      <c r="M48" s="8" t="s">
        <v>73</v>
      </c>
      <c r="N48" s="9">
        <v>0.20580000000000001</v>
      </c>
      <c r="O48" s="9">
        <v>0.24335000000000001</v>
      </c>
      <c r="P48" s="9">
        <v>118.65</v>
      </c>
      <c r="Q48" s="9">
        <v>7.1429999999999993E-2</v>
      </c>
      <c r="R48" s="9">
        <v>0.67852999999999997</v>
      </c>
      <c r="S48" s="9">
        <v>106.95</v>
      </c>
      <c r="T48" s="9">
        <v>43.904000000000003</v>
      </c>
      <c r="U48" s="9">
        <v>0.78913</v>
      </c>
      <c r="V48" s="9">
        <v>0</v>
      </c>
      <c r="W48" s="9">
        <v>39.325000000000003</v>
      </c>
      <c r="X48" s="9">
        <v>17.431000000000001</v>
      </c>
      <c r="Y48" s="9">
        <v>0.37624000000000002</v>
      </c>
      <c r="AA48" s="19">
        <f t="shared" si="16"/>
        <v>25.815353738083292</v>
      </c>
      <c r="AB48" s="19">
        <f t="shared" si="22"/>
        <v>30.525589563472153</v>
      </c>
      <c r="AC48" s="19">
        <f t="shared" si="17"/>
        <v>1.488161640742599</v>
      </c>
      <c r="AD48" s="19">
        <f t="shared" si="23"/>
        <v>8.9601103863522304</v>
      </c>
      <c r="AE48" s="19">
        <f t="shared" si="24"/>
        <v>84.715755143000493</v>
      </c>
      <c r="AF48" s="19">
        <f t="shared" si="18"/>
        <v>1.3404962870045158</v>
      </c>
      <c r="AG48" s="19">
        <f t="shared" si="19"/>
        <v>0.55072754641244359</v>
      </c>
      <c r="AH48" s="19">
        <f t="shared" si="25"/>
        <v>98.987706974410429</v>
      </c>
      <c r="AI48" s="19">
        <f t="shared" si="26"/>
        <v>0</v>
      </c>
      <c r="AJ48" s="19">
        <f t="shared" si="20"/>
        <v>0.49272039638735576</v>
      </c>
      <c r="AK48" s="19">
        <f t="shared" si="21"/>
        <v>0.21728534872052183</v>
      </c>
      <c r="AL48" s="19">
        <f t="shared" si="27"/>
        <v>47.195183140993478</v>
      </c>
      <c r="AN48" s="11" t="s">
        <v>91</v>
      </c>
      <c r="AO48" s="9">
        <v>1.488161640742599</v>
      </c>
      <c r="AP48" s="9">
        <v>0.49272039638735576</v>
      </c>
      <c r="AQ48" s="9">
        <v>0.21728534872052183</v>
      </c>
      <c r="AU48" s="29">
        <v>444</v>
      </c>
      <c r="AV48" s="29">
        <v>0</v>
      </c>
      <c r="AW48" s="29">
        <v>-20</v>
      </c>
    </row>
    <row r="49" spans="1:49" x14ac:dyDescent="0.2">
      <c r="A49" s="32">
        <v>23</v>
      </c>
      <c r="B49" s="32" t="s">
        <v>116</v>
      </c>
      <c r="C49" s="32"/>
      <c r="D49" s="33">
        <v>4</v>
      </c>
      <c r="E49" s="34">
        <v>2</v>
      </c>
      <c r="F49" s="33" t="s">
        <v>100</v>
      </c>
      <c r="G49" s="33" t="s">
        <v>117</v>
      </c>
      <c r="H49" s="1">
        <v>2</v>
      </c>
      <c r="I49" s="1">
        <v>52</v>
      </c>
      <c r="J49" s="7">
        <v>0.2014</v>
      </c>
      <c r="K49" s="1">
        <v>25</v>
      </c>
      <c r="L49" s="54">
        <f t="shared" si="7"/>
        <v>8.0560000000000009</v>
      </c>
      <c r="M49" s="8" t="s">
        <v>74</v>
      </c>
      <c r="N49" s="9">
        <v>0.14688000000000001</v>
      </c>
      <c r="O49" s="9">
        <v>4.0800000000000003E-2</v>
      </c>
      <c r="P49" s="9">
        <v>24.315000000000001</v>
      </c>
      <c r="Q49" s="9">
        <v>6.3149999999999998E-2</v>
      </c>
      <c r="R49" s="9">
        <v>0.59992999999999996</v>
      </c>
      <c r="S49" s="9">
        <v>273.64</v>
      </c>
      <c r="T49" s="9">
        <v>24.202000000000002</v>
      </c>
      <c r="U49" s="9">
        <v>0.74082000000000003</v>
      </c>
      <c r="V49" s="9">
        <v>0</v>
      </c>
      <c r="W49" s="9">
        <v>29.3</v>
      </c>
      <c r="X49" s="9">
        <v>13.382</v>
      </c>
      <c r="Y49" s="9">
        <v>0.27424999999999999</v>
      </c>
      <c r="AA49" s="19">
        <f t="shared" si="16"/>
        <v>18.232373386295929</v>
      </c>
      <c r="AB49" s="19">
        <f t="shared" si="22"/>
        <v>5.06454816285998</v>
      </c>
      <c r="AC49" s="19">
        <f t="shared" si="17"/>
        <v>0.30165399702085405</v>
      </c>
      <c r="AD49" s="19">
        <f t="shared" si="23"/>
        <v>7.8388778550148954</v>
      </c>
      <c r="AE49" s="19">
        <f t="shared" si="24"/>
        <v>74.07571996027805</v>
      </c>
      <c r="AF49" s="19">
        <f t="shared" si="18"/>
        <v>3.3956599304865938</v>
      </c>
      <c r="AG49" s="19">
        <f t="shared" si="19"/>
        <v>0.30042204568023834</v>
      </c>
      <c r="AH49" s="19">
        <f t="shared" si="25"/>
        <v>91.958788480635562</v>
      </c>
      <c r="AI49" s="19">
        <f t="shared" si="26"/>
        <v>0</v>
      </c>
      <c r="AJ49" s="19">
        <f t="shared" si="20"/>
        <v>0.36314138530287987</v>
      </c>
      <c r="AK49" s="19">
        <f t="shared" si="21"/>
        <v>0.1647590367428004</v>
      </c>
      <c r="AL49" s="19">
        <f t="shared" si="27"/>
        <v>34.04294935451837</v>
      </c>
      <c r="AN49" s="11" t="s">
        <v>100</v>
      </c>
      <c r="AO49" s="9">
        <v>0.30165399702085405</v>
      </c>
      <c r="AP49" s="9">
        <v>0.36314138530287987</v>
      </c>
      <c r="AQ49" s="9">
        <v>0.1647590367428004</v>
      </c>
      <c r="AU49" s="29">
        <v>1.8400000000000034</v>
      </c>
      <c r="AV49" s="29">
        <v>52</v>
      </c>
      <c r="AW49" s="29">
        <v>32</v>
      </c>
    </row>
    <row r="50" spans="1:49" x14ac:dyDescent="0.2">
      <c r="A50" s="32">
        <v>24</v>
      </c>
      <c r="B50" s="32" t="s">
        <v>119</v>
      </c>
      <c r="C50" s="32"/>
      <c r="D50" s="33">
        <v>4</v>
      </c>
      <c r="E50" s="34">
        <v>3</v>
      </c>
      <c r="F50" s="33" t="s">
        <v>91</v>
      </c>
      <c r="G50" s="33" t="s">
        <v>117</v>
      </c>
      <c r="H50" s="1">
        <v>1</v>
      </c>
      <c r="I50" s="1">
        <v>53</v>
      </c>
      <c r="J50" s="7">
        <v>0.19869999999999999</v>
      </c>
      <c r="K50" s="1">
        <v>25</v>
      </c>
      <c r="L50" s="54">
        <f t="shared" si="7"/>
        <v>7.9479999999999995</v>
      </c>
      <c r="M50" s="8" t="s">
        <v>75</v>
      </c>
      <c r="N50" s="9">
        <v>7.6020000000000004E-2</v>
      </c>
      <c r="O50" s="9">
        <v>0.27350000000000002</v>
      </c>
      <c r="P50" s="9">
        <v>113.56</v>
      </c>
      <c r="Q50" s="9">
        <v>5.4649999999999997E-2</v>
      </c>
      <c r="R50" s="9">
        <v>0.54562999999999995</v>
      </c>
      <c r="S50" s="9">
        <v>122.01</v>
      </c>
      <c r="T50" s="9">
        <v>41.082999999999998</v>
      </c>
      <c r="U50" s="9">
        <v>0.89244999999999997</v>
      </c>
      <c r="V50" s="9">
        <v>0</v>
      </c>
      <c r="W50" s="9">
        <v>40.317</v>
      </c>
      <c r="X50" s="9">
        <v>19.649999999999999</v>
      </c>
      <c r="Y50" s="9">
        <v>0.36903999999999998</v>
      </c>
      <c r="AA50" s="19">
        <f t="shared" si="16"/>
        <v>9.5646703573225977</v>
      </c>
      <c r="AB50" s="19">
        <f t="shared" si="22"/>
        <v>34.411172622043289</v>
      </c>
      <c r="AC50" s="19">
        <f t="shared" si="17"/>
        <v>1.4286140664318068</v>
      </c>
      <c r="AD50" s="19">
        <f t="shared" si="23"/>
        <v>6.8759436336185207</v>
      </c>
      <c r="AE50" s="19">
        <f t="shared" si="24"/>
        <v>68.250377453447413</v>
      </c>
      <c r="AF50" s="19">
        <f t="shared" si="18"/>
        <v>1.5340257171615501</v>
      </c>
      <c r="AG50" s="19">
        <f t="shared" si="19"/>
        <v>0.51689733266230509</v>
      </c>
      <c r="AH50" s="19">
        <f t="shared" si="25"/>
        <v>112.28610971313537</v>
      </c>
      <c r="AI50" s="19">
        <f t="shared" si="26"/>
        <v>0</v>
      </c>
      <c r="AJ50" s="19">
        <f t="shared" si="20"/>
        <v>0.50668935581278307</v>
      </c>
      <c r="AK50" s="19">
        <f t="shared" si="21"/>
        <v>0.24586044287871159</v>
      </c>
      <c r="AL50" s="19">
        <f t="shared" si="27"/>
        <v>46.431806743834926</v>
      </c>
      <c r="AN50" s="11" t="s">
        <v>91</v>
      </c>
      <c r="AO50" s="9">
        <v>1.4286140664318068</v>
      </c>
      <c r="AP50" s="9">
        <v>0.50668935581278307</v>
      </c>
      <c r="AQ50" s="9">
        <v>0.24586044287871159</v>
      </c>
      <c r="AU50" s="29">
        <v>3.6000000000000014</v>
      </c>
      <c r="AV50" s="29">
        <v>5</v>
      </c>
      <c r="AW50" s="29">
        <v>-15</v>
      </c>
    </row>
    <row r="51" spans="1:49" x14ac:dyDescent="0.2">
      <c r="A51" s="32">
        <v>24</v>
      </c>
      <c r="B51" s="32" t="s">
        <v>116</v>
      </c>
      <c r="C51" s="32"/>
      <c r="D51" s="33">
        <v>4</v>
      </c>
      <c r="E51" s="34">
        <v>3</v>
      </c>
      <c r="F51" s="33" t="s">
        <v>100</v>
      </c>
      <c r="G51" s="33" t="s">
        <v>117</v>
      </c>
      <c r="H51" s="1">
        <v>2</v>
      </c>
      <c r="I51" s="1">
        <v>54</v>
      </c>
      <c r="J51" s="7">
        <v>0.19900000000000001</v>
      </c>
      <c r="K51" s="1">
        <v>25</v>
      </c>
      <c r="L51" s="54">
        <f t="shared" si="7"/>
        <v>7.96</v>
      </c>
      <c r="M51" s="8" t="s">
        <v>76</v>
      </c>
      <c r="N51" s="9">
        <v>6.6669999999999993E-2</v>
      </c>
      <c r="O51" s="9">
        <v>0.04</v>
      </c>
      <c r="P51" s="9">
        <v>20.440999999999999</v>
      </c>
      <c r="Q51" s="9">
        <v>6.9029999999999994E-2</v>
      </c>
      <c r="R51" s="9">
        <v>0.53269</v>
      </c>
      <c r="S51" s="9">
        <v>269.20999999999998</v>
      </c>
      <c r="T51" s="9">
        <v>22.141999999999999</v>
      </c>
      <c r="U51" s="9">
        <v>0.84665999999999997</v>
      </c>
      <c r="V51" s="9">
        <v>0</v>
      </c>
      <c r="W51" s="9">
        <v>29.231999999999999</v>
      </c>
      <c r="X51" s="9">
        <v>15.083</v>
      </c>
      <c r="Y51" s="9">
        <v>0.32372000000000001</v>
      </c>
      <c r="AA51" s="19">
        <f t="shared" si="16"/>
        <v>8.3756281407035154</v>
      </c>
      <c r="AB51" s="19">
        <f t="shared" si="22"/>
        <v>5.0251256281407031</v>
      </c>
      <c r="AC51" s="19">
        <f t="shared" si="17"/>
        <v>0.25662369346733666</v>
      </c>
      <c r="AD51" s="19">
        <f t="shared" si="23"/>
        <v>8.6721105527638187</v>
      </c>
      <c r="AE51" s="19">
        <f t="shared" si="24"/>
        <v>66.521859296482404</v>
      </c>
      <c r="AF51" s="19">
        <f t="shared" si="18"/>
        <v>3.3809593467336674</v>
      </c>
      <c r="AG51" s="19">
        <f t="shared" si="19"/>
        <v>0.27816582914572857</v>
      </c>
      <c r="AH51" s="19">
        <f t="shared" si="25"/>
        <v>106.36432160804019</v>
      </c>
      <c r="AI51" s="19">
        <f t="shared" si="26"/>
        <v>0</v>
      </c>
      <c r="AJ51" s="19">
        <f t="shared" si="20"/>
        <v>0.36666670854271355</v>
      </c>
      <c r="AK51" s="19">
        <f t="shared" si="21"/>
        <v>0.18811542713567839</v>
      </c>
      <c r="AL51" s="19">
        <f t="shared" si="27"/>
        <v>40.668341708542712</v>
      </c>
      <c r="AN51" s="11" t="s">
        <v>100</v>
      </c>
      <c r="AO51" s="9">
        <v>0.25662369346733666</v>
      </c>
      <c r="AP51" s="9">
        <v>0.36666670854271355</v>
      </c>
      <c r="AQ51" s="9">
        <v>0.18811542713567839</v>
      </c>
      <c r="AU51" s="29">
        <v>10.439999999999998</v>
      </c>
      <c r="AV51" s="29">
        <v>57</v>
      </c>
      <c r="AW51" s="29">
        <v>37</v>
      </c>
    </row>
    <row r="52" spans="1:49" x14ac:dyDescent="0.2">
      <c r="A52" s="32">
        <v>25</v>
      </c>
      <c r="B52" s="32" t="s">
        <v>120</v>
      </c>
      <c r="C52" s="32"/>
      <c r="D52" s="33">
        <v>4</v>
      </c>
      <c r="E52" s="34">
        <v>4</v>
      </c>
      <c r="F52" s="33" t="s">
        <v>91</v>
      </c>
      <c r="G52" s="33" t="s">
        <v>115</v>
      </c>
      <c r="H52" s="1">
        <v>1</v>
      </c>
      <c r="I52" s="1">
        <v>55</v>
      </c>
      <c r="J52" s="7">
        <v>0.19900000000000001</v>
      </c>
      <c r="K52" s="1">
        <v>25</v>
      </c>
      <c r="L52" s="54">
        <f t="shared" si="7"/>
        <v>7.96</v>
      </c>
      <c r="M52" s="8" t="s">
        <v>77</v>
      </c>
      <c r="N52" s="9">
        <v>0.1459</v>
      </c>
      <c r="O52" s="9">
        <v>0.27334000000000003</v>
      </c>
      <c r="P52" s="9">
        <v>92.146000000000001</v>
      </c>
      <c r="Q52" s="9">
        <v>4.9320000000000003E-2</v>
      </c>
      <c r="R52" s="9">
        <v>0.48330000000000001</v>
      </c>
      <c r="S52" s="9">
        <v>138.82</v>
      </c>
      <c r="T52" s="9">
        <v>35.898000000000003</v>
      </c>
      <c r="U52" s="9">
        <v>0.76785000000000003</v>
      </c>
      <c r="V52" s="9">
        <v>8.5100000000000002E-3</v>
      </c>
      <c r="W52" s="9">
        <v>38.493000000000002</v>
      </c>
      <c r="X52" s="9">
        <v>19.024000000000001</v>
      </c>
      <c r="Y52" s="9">
        <v>0.27195000000000003</v>
      </c>
      <c r="AA52" s="19">
        <f t="shared" si="16"/>
        <v>18.329145728643216</v>
      </c>
      <c r="AB52" s="19">
        <f t="shared" si="22"/>
        <v>34.3391959798995</v>
      </c>
      <c r="AC52" s="19">
        <f t="shared" si="17"/>
        <v>1.1574402763819094</v>
      </c>
      <c r="AD52" s="19">
        <f t="shared" si="23"/>
        <v>6.1959798994974875</v>
      </c>
      <c r="AE52" s="19">
        <f t="shared" si="24"/>
        <v>60.317085427135673</v>
      </c>
      <c r="AF52" s="19">
        <f t="shared" si="18"/>
        <v>1.7428940201005025</v>
      </c>
      <c r="AG52" s="19">
        <f t="shared" si="19"/>
        <v>0.45097989949748746</v>
      </c>
      <c r="AH52" s="19">
        <f t="shared" si="25"/>
        <v>96.463567839195974</v>
      </c>
      <c r="AI52" s="19">
        <f t="shared" si="26"/>
        <v>1.0690954773869346</v>
      </c>
      <c r="AJ52" s="19">
        <f t="shared" si="20"/>
        <v>0.48301092964824122</v>
      </c>
      <c r="AK52" s="19">
        <f t="shared" si="21"/>
        <v>0.23762547738693465</v>
      </c>
      <c r="AL52" s="19">
        <f t="shared" si="27"/>
        <v>34.164572864321613</v>
      </c>
      <c r="AN52" s="11" t="s">
        <v>91</v>
      </c>
      <c r="AO52" s="9">
        <v>1.1574402763819094</v>
      </c>
      <c r="AP52" s="9">
        <v>0.48301092964824122</v>
      </c>
      <c r="AQ52" s="9">
        <v>0.23762547738693465</v>
      </c>
      <c r="AU52" s="29">
        <v>-16.04</v>
      </c>
      <c r="AV52" s="29">
        <v>88</v>
      </c>
      <c r="AW52" s="29">
        <v>68</v>
      </c>
    </row>
    <row r="53" spans="1:49" x14ac:dyDescent="0.2">
      <c r="A53" s="32">
        <v>25</v>
      </c>
      <c r="B53" s="32" t="s">
        <v>116</v>
      </c>
      <c r="C53" s="32"/>
      <c r="D53" s="33">
        <v>4</v>
      </c>
      <c r="E53" s="34">
        <v>4</v>
      </c>
      <c r="F53" s="33" t="s">
        <v>100</v>
      </c>
      <c r="G53" s="33" t="s">
        <v>117</v>
      </c>
      <c r="H53" s="1">
        <v>2</v>
      </c>
      <c r="I53" s="1">
        <v>56</v>
      </c>
      <c r="J53" s="7">
        <v>0.20130000000000001</v>
      </c>
      <c r="K53" s="1">
        <v>25</v>
      </c>
      <c r="L53" s="54">
        <f t="shared" si="7"/>
        <v>8.0519999999999996</v>
      </c>
      <c r="M53" s="8" t="s">
        <v>78</v>
      </c>
      <c r="N53" s="9">
        <v>9.1259999999999994E-2</v>
      </c>
      <c r="O53" s="9">
        <v>3.5970000000000002E-2</v>
      </c>
      <c r="P53" s="9">
        <v>23.446999999999999</v>
      </c>
      <c r="Q53" s="9">
        <v>7.6869999999999994E-2</v>
      </c>
      <c r="R53" s="9">
        <v>0.60072000000000003</v>
      </c>
      <c r="S53" s="9">
        <v>259.93</v>
      </c>
      <c r="T53" s="9">
        <v>27.058</v>
      </c>
      <c r="U53" s="9">
        <v>0.78954999999999997</v>
      </c>
      <c r="V53" s="9">
        <v>0</v>
      </c>
      <c r="W53" s="9">
        <v>30.030999999999999</v>
      </c>
      <c r="X53" s="9">
        <v>15.66</v>
      </c>
      <c r="Y53" s="9">
        <v>0.35437999999999997</v>
      </c>
      <c r="AA53" s="19">
        <f t="shared" si="16"/>
        <v>11.333830104321907</v>
      </c>
      <c r="AB53" s="19">
        <f t="shared" si="22"/>
        <v>4.4672131147540988</v>
      </c>
      <c r="AC53" s="19">
        <f t="shared" si="17"/>
        <v>0.29102391952309981</v>
      </c>
      <c r="AD53" s="19">
        <f t="shared" si="23"/>
        <v>9.54669647292598</v>
      </c>
      <c r="AE53" s="19">
        <f t="shared" si="24"/>
        <v>74.21063089915549</v>
      </c>
      <c r="AF53" s="19">
        <f t="shared" si="18"/>
        <v>3.2270785394932933</v>
      </c>
      <c r="AG53" s="19">
        <f t="shared" si="19"/>
        <v>0.33604073522106309</v>
      </c>
      <c r="AH53" s="19">
        <f t="shared" si="25"/>
        <v>98.056383507203179</v>
      </c>
      <c r="AI53" s="19">
        <f t="shared" si="26"/>
        <v>0</v>
      </c>
      <c r="AJ53" s="19">
        <f t="shared" si="20"/>
        <v>0.37240027322404373</v>
      </c>
      <c r="AK53" s="19">
        <f t="shared" si="21"/>
        <v>0.19313199205166418</v>
      </c>
      <c r="AL53" s="19">
        <f t="shared" si="27"/>
        <v>44.011425732737202</v>
      </c>
      <c r="AN53" s="11" t="s">
        <v>100</v>
      </c>
      <c r="AO53" s="9">
        <v>0.29102391952309981</v>
      </c>
      <c r="AP53" s="9">
        <v>0.37240027322404373</v>
      </c>
      <c r="AQ53" s="9">
        <v>0.19313199205166418</v>
      </c>
      <c r="AU53" s="29">
        <v>7.0799999999999983</v>
      </c>
      <c r="AV53" s="29">
        <v>24</v>
      </c>
      <c r="AW53" s="29">
        <v>4</v>
      </c>
    </row>
    <row r="54" spans="1:49" x14ac:dyDescent="0.2">
      <c r="A54" s="32">
        <v>26</v>
      </c>
      <c r="B54" s="32" t="s">
        <v>121</v>
      </c>
      <c r="C54" s="32"/>
      <c r="D54" s="33">
        <v>4</v>
      </c>
      <c r="E54" s="34">
        <v>5</v>
      </c>
      <c r="F54" s="33" t="s">
        <v>100</v>
      </c>
      <c r="G54" s="33" t="s">
        <v>117</v>
      </c>
      <c r="H54" s="1">
        <v>1</v>
      </c>
      <c r="I54" s="1">
        <v>57</v>
      </c>
      <c r="J54" s="7">
        <v>0.19900000000000001</v>
      </c>
      <c r="K54" s="1">
        <v>25</v>
      </c>
      <c r="L54" s="54">
        <f t="shared" si="7"/>
        <v>7.96</v>
      </c>
      <c r="M54" s="8" t="s">
        <v>79</v>
      </c>
      <c r="N54" s="9">
        <v>6.4619999999999997E-2</v>
      </c>
      <c r="O54" s="9">
        <v>4.0160000000000001E-2</v>
      </c>
      <c r="P54" s="9">
        <v>17.794</v>
      </c>
      <c r="Q54" s="9">
        <v>6.3880000000000006E-2</v>
      </c>
      <c r="R54" s="9">
        <v>0.53974</v>
      </c>
      <c r="S54" s="9">
        <v>212.51</v>
      </c>
      <c r="T54" s="9">
        <v>21.207000000000001</v>
      </c>
      <c r="U54" s="9">
        <v>0.61462000000000006</v>
      </c>
      <c r="V54" s="9">
        <v>0</v>
      </c>
      <c r="W54" s="9">
        <v>23.068000000000001</v>
      </c>
      <c r="X54" s="9">
        <v>13.2</v>
      </c>
      <c r="Y54" s="9">
        <v>0.28071000000000002</v>
      </c>
      <c r="AA54" s="19">
        <f t="shared" si="16"/>
        <v>8.1180904522613062</v>
      </c>
      <c r="AB54" s="19">
        <f t="shared" si="22"/>
        <v>5.0452261306532664</v>
      </c>
      <c r="AC54" s="19">
        <f t="shared" si="17"/>
        <v>0.22336992462311558</v>
      </c>
      <c r="AD54" s="19">
        <f t="shared" si="23"/>
        <v>8.0251256281407048</v>
      </c>
      <c r="AE54" s="19">
        <f t="shared" si="24"/>
        <v>67.407537688442204</v>
      </c>
      <c r="AF54" s="19">
        <f t="shared" si="18"/>
        <v>2.6686477889447233</v>
      </c>
      <c r="AG54" s="19">
        <f t="shared" si="19"/>
        <v>0.26641959798994974</v>
      </c>
      <c r="AH54" s="19">
        <f t="shared" si="25"/>
        <v>77.213567839195974</v>
      </c>
      <c r="AI54" s="19">
        <f t="shared" si="26"/>
        <v>0</v>
      </c>
      <c r="AJ54" s="19">
        <f t="shared" si="20"/>
        <v>0.28922952261306534</v>
      </c>
      <c r="AK54" s="19">
        <f t="shared" si="21"/>
        <v>0.16445964824120601</v>
      </c>
      <c r="AL54" s="19">
        <f t="shared" si="27"/>
        <v>35.265075376884425</v>
      </c>
      <c r="AN54" s="11" t="s">
        <v>100</v>
      </c>
      <c r="AO54" s="9">
        <v>0.22336992462311558</v>
      </c>
      <c r="AP54" s="9">
        <v>0.28922952261306534</v>
      </c>
      <c r="AQ54" s="9">
        <v>0.16445964824120601</v>
      </c>
      <c r="AU54" s="29">
        <v>-8.2800000000000011</v>
      </c>
      <c r="AV54" s="29">
        <v>16</v>
      </c>
      <c r="AW54" s="29">
        <v>-4</v>
      </c>
    </row>
    <row r="55" spans="1:49" x14ac:dyDescent="0.2">
      <c r="A55" s="32">
        <v>26</v>
      </c>
      <c r="B55" s="32" t="s">
        <v>122</v>
      </c>
      <c r="C55" s="32"/>
      <c r="D55" s="33">
        <v>4</v>
      </c>
      <c r="E55" s="34">
        <v>5</v>
      </c>
      <c r="F55" s="33" t="s">
        <v>100</v>
      </c>
      <c r="G55" s="33" t="s">
        <v>117</v>
      </c>
      <c r="H55" s="1">
        <v>2</v>
      </c>
      <c r="I55" s="1">
        <v>58</v>
      </c>
      <c r="J55" s="7">
        <v>0.20069999999999999</v>
      </c>
      <c r="K55" s="1">
        <v>25</v>
      </c>
      <c r="L55" s="54">
        <f t="shared" si="7"/>
        <v>8.0279999999999987</v>
      </c>
      <c r="M55" s="8" t="s">
        <v>80</v>
      </c>
      <c r="N55" s="9">
        <v>7.2370000000000004E-2</v>
      </c>
      <c r="O55" s="9">
        <v>4.1169999999999998E-2</v>
      </c>
      <c r="P55" s="9">
        <v>21.058</v>
      </c>
      <c r="Q55" s="9">
        <v>5.6370000000000003E-2</v>
      </c>
      <c r="R55" s="9">
        <v>0.53612000000000004</v>
      </c>
      <c r="S55" s="9">
        <v>225.9</v>
      </c>
      <c r="T55" s="9">
        <v>23.978000000000002</v>
      </c>
      <c r="U55" s="9">
        <v>0.55054000000000003</v>
      </c>
      <c r="V55" s="9">
        <v>0</v>
      </c>
      <c r="W55" s="9">
        <v>23.666</v>
      </c>
      <c r="X55" s="9">
        <v>12.009</v>
      </c>
      <c r="Y55" s="9">
        <v>0.24968000000000001</v>
      </c>
      <c r="AA55" s="19">
        <f t="shared" si="16"/>
        <v>9.0146985550573007</v>
      </c>
      <c r="AB55" s="19">
        <f t="shared" si="22"/>
        <v>5.128300946686597</v>
      </c>
      <c r="AC55" s="19">
        <f t="shared" si="17"/>
        <v>0.26213560039860495</v>
      </c>
      <c r="AD55" s="19">
        <f t="shared" si="23"/>
        <v>7.0216741405082219</v>
      </c>
      <c r="AE55" s="19">
        <f t="shared" si="24"/>
        <v>66.385650224215254</v>
      </c>
      <c r="AF55" s="19">
        <f t="shared" si="18"/>
        <v>2.8128346287992025</v>
      </c>
      <c r="AG55" s="19">
        <f t="shared" si="19"/>
        <v>0.29867962132536124</v>
      </c>
      <c r="AH55" s="19">
        <f t="shared" si="25"/>
        <v>68.577478824115602</v>
      </c>
      <c r="AI55" s="19">
        <f t="shared" si="26"/>
        <v>0</v>
      </c>
      <c r="AJ55" s="19">
        <f t="shared" si="20"/>
        <v>0.29422857498754362</v>
      </c>
      <c r="AK55" s="19">
        <f t="shared" si="21"/>
        <v>0.14823104135525661</v>
      </c>
      <c r="AL55" s="19">
        <f t="shared" si="27"/>
        <v>31.101145989038368</v>
      </c>
      <c r="AN55" s="11" t="s">
        <v>100</v>
      </c>
      <c r="AO55" s="9">
        <v>0.26213560039860495</v>
      </c>
      <c r="AP55" s="9">
        <v>0.29422857498754362</v>
      </c>
      <c r="AQ55" s="9">
        <v>0.14823104135525661</v>
      </c>
      <c r="AU55" s="29">
        <v>0.56000000000000227</v>
      </c>
      <c r="AV55" s="29">
        <v>18</v>
      </c>
      <c r="AW55" s="29">
        <v>-2</v>
      </c>
    </row>
    <row r="56" spans="1:49" x14ac:dyDescent="0.2">
      <c r="A56" s="32">
        <v>27</v>
      </c>
      <c r="B56" s="32" t="s">
        <v>123</v>
      </c>
      <c r="C56" s="32"/>
      <c r="D56" s="33">
        <v>4</v>
      </c>
      <c r="E56" s="34">
        <v>6</v>
      </c>
      <c r="F56" s="33" t="s">
        <v>91</v>
      </c>
      <c r="G56" s="33" t="s">
        <v>115</v>
      </c>
      <c r="H56" s="1">
        <v>1</v>
      </c>
      <c r="I56" s="1">
        <v>61</v>
      </c>
      <c r="J56" s="7">
        <v>0.19889999999999999</v>
      </c>
      <c r="K56" s="1">
        <v>25</v>
      </c>
      <c r="L56" s="54">
        <f t="shared" si="7"/>
        <v>7.9560000000000004</v>
      </c>
      <c r="M56" s="8" t="s">
        <v>83</v>
      </c>
      <c r="N56" s="9">
        <v>0.10636</v>
      </c>
      <c r="O56" s="9">
        <v>0.36286000000000002</v>
      </c>
      <c r="P56" s="9">
        <v>117.64</v>
      </c>
      <c r="Q56" s="9">
        <v>5.1589999999999997E-2</v>
      </c>
      <c r="R56" s="9">
        <v>0.55242999999999998</v>
      </c>
      <c r="S56" s="9">
        <v>154</v>
      </c>
      <c r="T56" s="9">
        <v>34.959000000000003</v>
      </c>
      <c r="U56" s="9">
        <v>0.88600999999999996</v>
      </c>
      <c r="V56" s="9">
        <v>0</v>
      </c>
      <c r="W56" s="9">
        <v>43.563000000000002</v>
      </c>
      <c r="X56" s="9">
        <v>22.451000000000001</v>
      </c>
      <c r="Y56" s="9">
        <v>0.37036000000000002</v>
      </c>
      <c r="AA56" s="19">
        <f t="shared" si="16"/>
        <v>13.368526897938661</v>
      </c>
      <c r="AB56" s="19">
        <f t="shared" si="22"/>
        <v>45.608345902463554</v>
      </c>
      <c r="AC56" s="19">
        <f t="shared" si="17"/>
        <v>1.4784596028154851</v>
      </c>
      <c r="AD56" s="19">
        <f t="shared" si="23"/>
        <v>6.4844142785319256</v>
      </c>
      <c r="AE56" s="19">
        <f t="shared" si="24"/>
        <v>69.036450477626943</v>
      </c>
      <c r="AF56" s="19">
        <f t="shared" si="18"/>
        <v>1.9345696832579187</v>
      </c>
      <c r="AG56" s="19">
        <f t="shared" si="19"/>
        <v>0.43940422322775274</v>
      </c>
      <c r="AH56" s="19">
        <f t="shared" si="25"/>
        <v>111.36375062845651</v>
      </c>
      <c r="AI56" s="19">
        <f t="shared" si="26"/>
        <v>0</v>
      </c>
      <c r="AJ56" s="19">
        <f t="shared" si="20"/>
        <v>0.54697926093514326</v>
      </c>
      <c r="AK56" s="19">
        <f t="shared" si="21"/>
        <v>0.28081935646053291</v>
      </c>
      <c r="AL56" s="19">
        <f t="shared" si="27"/>
        <v>46.551030668677733</v>
      </c>
      <c r="AN56" s="11" t="s">
        <v>91</v>
      </c>
      <c r="AO56" s="9">
        <v>1.4784596028154851</v>
      </c>
      <c r="AP56" s="9">
        <v>0.54697926093514326</v>
      </c>
      <c r="AQ56" s="9">
        <v>0.28081935646053291</v>
      </c>
      <c r="AU56" s="29">
        <v>232.64</v>
      </c>
      <c r="AV56" s="29">
        <v>67</v>
      </c>
      <c r="AW56" s="29">
        <v>47</v>
      </c>
    </row>
    <row r="57" spans="1:49" x14ac:dyDescent="0.2">
      <c r="A57" s="32">
        <v>27</v>
      </c>
      <c r="B57" s="32" t="s">
        <v>124</v>
      </c>
      <c r="C57" s="32"/>
      <c r="D57" s="33">
        <v>4</v>
      </c>
      <c r="E57" s="34">
        <v>6</v>
      </c>
      <c r="F57" s="33" t="s">
        <v>91</v>
      </c>
      <c r="G57" s="33" t="s">
        <v>115</v>
      </c>
      <c r="H57" s="1">
        <v>2</v>
      </c>
      <c r="I57" s="1">
        <v>62</v>
      </c>
      <c r="J57" s="7">
        <v>0.2</v>
      </c>
      <c r="K57" s="1">
        <v>25</v>
      </c>
      <c r="L57" s="54">
        <f t="shared" si="7"/>
        <v>8</v>
      </c>
      <c r="M57" s="8" t="s">
        <v>84</v>
      </c>
      <c r="N57" s="9">
        <v>0.12356</v>
      </c>
      <c r="O57" s="9">
        <v>0.35648000000000002</v>
      </c>
      <c r="P57" s="9">
        <v>113.18</v>
      </c>
      <c r="Q57" s="9">
        <v>5.586E-2</v>
      </c>
      <c r="R57" s="9">
        <v>0.52202000000000004</v>
      </c>
      <c r="S57" s="9">
        <v>180.84</v>
      </c>
      <c r="T57" s="9">
        <v>37.613</v>
      </c>
      <c r="U57" s="9">
        <v>0.91410000000000002</v>
      </c>
      <c r="V57" s="9">
        <v>1.372E-2</v>
      </c>
      <c r="W57" s="9">
        <v>39.792999999999999</v>
      </c>
      <c r="X57" s="9">
        <v>23.023</v>
      </c>
      <c r="Y57" s="9">
        <v>0.32805000000000001</v>
      </c>
      <c r="AA57" s="19">
        <f t="shared" si="16"/>
        <v>15.444999999999999</v>
      </c>
      <c r="AB57" s="19">
        <f t="shared" si="22"/>
        <v>44.56</v>
      </c>
      <c r="AC57" s="19">
        <f t="shared" si="17"/>
        <v>1.4145780749999999</v>
      </c>
      <c r="AD57" s="19">
        <f t="shared" si="23"/>
        <v>6.9824999999999999</v>
      </c>
      <c r="AE57" s="19">
        <f t="shared" si="24"/>
        <v>64.855500000000006</v>
      </c>
      <c r="AF57" s="19">
        <f t="shared" si="18"/>
        <v>2.2594295499999997</v>
      </c>
      <c r="AG57" s="19">
        <f t="shared" si="19"/>
        <v>0.47016249999999998</v>
      </c>
      <c r="AH57" s="19">
        <f t="shared" si="25"/>
        <v>114.26249999999999</v>
      </c>
      <c r="AI57" s="19">
        <f t="shared" si="26"/>
        <v>1.7149999999999999</v>
      </c>
      <c r="AJ57" s="19">
        <f t="shared" si="20"/>
        <v>0.49684587499999999</v>
      </c>
      <c r="AK57" s="19">
        <f t="shared" si="21"/>
        <v>0.28642485000000001</v>
      </c>
      <c r="AL57" s="19">
        <f t="shared" si="27"/>
        <v>41.006249999999994</v>
      </c>
      <c r="AN57" s="11" t="s">
        <v>91</v>
      </c>
      <c r="AO57" s="9">
        <v>1.4145780749999999</v>
      </c>
      <c r="AP57" s="9">
        <v>0.49684587499999999</v>
      </c>
      <c r="AQ57" s="9">
        <v>0.28642485000000001</v>
      </c>
      <c r="AU57" s="29">
        <v>6</v>
      </c>
      <c r="AV57" s="29">
        <v>0</v>
      </c>
      <c r="AW57" s="29">
        <v>-20</v>
      </c>
    </row>
    <row r="58" spans="1:49" ht="15" x14ac:dyDescent="0.25">
      <c r="A58" s="32">
        <v>28</v>
      </c>
      <c r="B58" s="32" t="s">
        <v>259</v>
      </c>
      <c r="C58" s="32"/>
      <c r="D58" s="33">
        <v>4</v>
      </c>
      <c r="E58" s="34">
        <v>7</v>
      </c>
      <c r="F58" s="33" t="s">
        <v>91</v>
      </c>
      <c r="G58" s="33" t="s">
        <v>117</v>
      </c>
      <c r="H58" s="1">
        <v>1</v>
      </c>
      <c r="I58" s="1">
        <v>63</v>
      </c>
      <c r="J58" s="7">
        <v>0.20069999999999999</v>
      </c>
      <c r="K58" s="1">
        <v>25</v>
      </c>
      <c r="L58" s="54">
        <f t="shared" si="7"/>
        <v>8.0279999999999987</v>
      </c>
      <c r="M58" s="8" t="s">
        <v>85</v>
      </c>
      <c r="N58" s="9">
        <v>0.23904</v>
      </c>
      <c r="O58" s="9">
        <v>0.29853000000000002</v>
      </c>
      <c r="P58" s="9">
        <v>109.73</v>
      </c>
      <c r="Q58" s="9">
        <v>6.4310000000000006E-2</v>
      </c>
      <c r="R58" s="9">
        <v>1.4984</v>
      </c>
      <c r="S58" s="9">
        <v>140.91</v>
      </c>
      <c r="T58" s="9">
        <v>42.844999999999999</v>
      </c>
      <c r="U58" s="9">
        <v>0.91993999999999998</v>
      </c>
      <c r="V58" s="9">
        <v>0</v>
      </c>
      <c r="W58" s="9">
        <v>35.774000000000001</v>
      </c>
      <c r="X58" s="9">
        <v>20.050999999999998</v>
      </c>
      <c r="Y58" s="9">
        <v>0.37131999999999998</v>
      </c>
      <c r="AA58" s="19">
        <f t="shared" si="16"/>
        <v>29.775784753363229</v>
      </c>
      <c r="AB58" s="19">
        <f t="shared" si="22"/>
        <v>37.186098654708523</v>
      </c>
      <c r="AC58" s="19">
        <f t="shared" si="17"/>
        <v>1.366669730941704</v>
      </c>
      <c r="AD58" s="19">
        <f t="shared" si="23"/>
        <v>8.0107125062282023</v>
      </c>
      <c r="AE58" s="19">
        <f t="shared" si="24"/>
        <v>186.2511210762332</v>
      </c>
      <c r="AF58" s="19">
        <f t="shared" si="18"/>
        <v>1.7541649725959145</v>
      </c>
      <c r="AG58" s="19">
        <f t="shared" si="19"/>
        <v>0.53369456900847034</v>
      </c>
      <c r="AH58" s="19">
        <f t="shared" si="25"/>
        <v>114.59142999501745</v>
      </c>
      <c r="AI58" s="19">
        <f t="shared" si="26"/>
        <v>0</v>
      </c>
      <c r="AJ58" s="19">
        <f t="shared" si="20"/>
        <v>0.44505069755854509</v>
      </c>
      <c r="AK58" s="19">
        <f t="shared" si="21"/>
        <v>0.24840543099152965</v>
      </c>
      <c r="AL58" s="19">
        <f t="shared" si="27"/>
        <v>46.253114100647736</v>
      </c>
      <c r="AN58" s="11" t="s">
        <v>91</v>
      </c>
      <c r="AO58" s="9">
        <v>1.366669730941704</v>
      </c>
      <c r="AP58" s="9">
        <v>0.44505069755854509</v>
      </c>
      <c r="AQ58" s="9">
        <v>0.24840543099152965</v>
      </c>
      <c r="AU58" s="29">
        <v>768</v>
      </c>
      <c r="AV58" s="29">
        <v>0</v>
      </c>
      <c r="AW58" s="29">
        <v>-20</v>
      </c>
    </row>
    <row r="59" spans="1:49" ht="15" x14ac:dyDescent="0.25">
      <c r="A59" s="32">
        <v>28</v>
      </c>
      <c r="B59" s="32" t="s">
        <v>258</v>
      </c>
      <c r="C59" s="32"/>
      <c r="D59" s="33">
        <v>4</v>
      </c>
      <c r="E59" s="34">
        <v>7</v>
      </c>
      <c r="F59" s="33" t="s">
        <v>91</v>
      </c>
      <c r="G59" s="33" t="s">
        <v>117</v>
      </c>
      <c r="H59" s="1">
        <v>2</v>
      </c>
      <c r="I59" s="1">
        <v>64</v>
      </c>
      <c r="J59" s="7">
        <v>0.19969999999999999</v>
      </c>
      <c r="K59" s="1">
        <v>25</v>
      </c>
      <c r="L59" s="54">
        <f t="shared" si="7"/>
        <v>7.9879999999999995</v>
      </c>
      <c r="M59" s="8" t="s">
        <v>86</v>
      </c>
      <c r="N59" s="9">
        <v>9.3500000000000007E-3</v>
      </c>
      <c r="O59" s="9">
        <v>3.789E-2</v>
      </c>
      <c r="P59" s="9">
        <v>19.172999999999998</v>
      </c>
      <c r="Q59" s="9">
        <v>6.6220000000000001E-2</v>
      </c>
      <c r="R59" s="9">
        <v>0.58028000000000002</v>
      </c>
      <c r="S59" s="9">
        <v>236.75</v>
      </c>
      <c r="T59" s="9">
        <v>24.408000000000001</v>
      </c>
      <c r="U59" s="9">
        <v>0.76727000000000001</v>
      </c>
      <c r="V59" s="9">
        <v>0</v>
      </c>
      <c r="W59" s="9">
        <v>28.231999999999999</v>
      </c>
      <c r="X59" s="9">
        <v>16.459</v>
      </c>
      <c r="Y59" s="9">
        <v>0.32001000000000002</v>
      </c>
      <c r="AA59" s="19">
        <f t="shared" si="16"/>
        <v>1.170505758637957</v>
      </c>
      <c r="AB59" s="19">
        <f t="shared" si="22"/>
        <v>4.7433650475713574</v>
      </c>
      <c r="AC59" s="19">
        <f t="shared" si="17"/>
        <v>0.23985035052578868</v>
      </c>
      <c r="AD59" s="19">
        <f t="shared" si="23"/>
        <v>8.2899349023535311</v>
      </c>
      <c r="AE59" s="19">
        <f t="shared" si="24"/>
        <v>72.246369554331508</v>
      </c>
      <c r="AF59" s="19">
        <f t="shared" si="18"/>
        <v>2.9627486730095143</v>
      </c>
      <c r="AG59" s="19">
        <f t="shared" si="19"/>
        <v>0.30555833750625944</v>
      </c>
      <c r="AH59" s="19">
        <f t="shared" si="25"/>
        <v>96.052829243865816</v>
      </c>
      <c r="AI59" s="19">
        <f t="shared" si="26"/>
        <v>0</v>
      </c>
      <c r="AJ59" s="19">
        <f t="shared" si="20"/>
        <v>0.35286266900350527</v>
      </c>
      <c r="AK59" s="19">
        <f t="shared" si="21"/>
        <v>0.20468187280921382</v>
      </c>
      <c r="AL59" s="19">
        <f t="shared" si="27"/>
        <v>40.061342013019541</v>
      </c>
      <c r="AN59" s="11" t="s">
        <v>100</v>
      </c>
      <c r="AO59" s="40">
        <v>0.23985035052578868</v>
      </c>
      <c r="AP59" s="9">
        <v>0.35286266900350527</v>
      </c>
      <c r="AQ59" s="9">
        <v>0.20468187280921382</v>
      </c>
      <c r="AU59" s="29">
        <v>650</v>
      </c>
      <c r="AV59" s="29">
        <v>0</v>
      </c>
      <c r="AW59" s="29">
        <v>-20</v>
      </c>
    </row>
    <row r="60" spans="1:49" x14ac:dyDescent="0.2">
      <c r="G60" s="4"/>
      <c r="H60" s="1"/>
      <c r="I60" s="1"/>
      <c r="J60" s="7"/>
      <c r="K60" s="1"/>
      <c r="M60" s="8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</row>
    <row r="61" spans="1:49" x14ac:dyDescent="0.2">
      <c r="G61" s="4"/>
      <c r="H61" s="1"/>
      <c r="I61" s="1"/>
      <c r="J61" s="7"/>
      <c r="K61" s="1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AA61" s="3" t="s">
        <v>90</v>
      </c>
      <c r="AB61" s="3" t="s">
        <v>91</v>
      </c>
      <c r="AC61" s="3" t="s">
        <v>92</v>
      </c>
      <c r="AD61" s="3" t="s">
        <v>93</v>
      </c>
      <c r="AE61" s="3" t="s">
        <v>94</v>
      </c>
      <c r="AF61" s="3" t="s">
        <v>95</v>
      </c>
      <c r="AG61" s="3" t="s">
        <v>96</v>
      </c>
      <c r="AH61" s="3" t="s">
        <v>97</v>
      </c>
      <c r="AI61" s="3" t="s">
        <v>98</v>
      </c>
      <c r="AJ61" s="3" t="s">
        <v>99</v>
      </c>
      <c r="AK61" s="3" t="s">
        <v>100</v>
      </c>
      <c r="AL61" s="3" t="s">
        <v>101</v>
      </c>
      <c r="AO61" t="s">
        <v>92</v>
      </c>
    </row>
    <row r="62" spans="1:49" x14ac:dyDescent="0.2">
      <c r="AA62" s="18" t="s">
        <v>103</v>
      </c>
      <c r="AB62" s="18" t="s">
        <v>103</v>
      </c>
      <c r="AC62" s="18" t="s">
        <v>102</v>
      </c>
      <c r="AD62" s="18" t="s">
        <v>103</v>
      </c>
      <c r="AE62" s="18" t="s">
        <v>103</v>
      </c>
      <c r="AF62" s="18" t="s">
        <v>102</v>
      </c>
      <c r="AG62" s="18" t="s">
        <v>102</v>
      </c>
      <c r="AH62" s="18" t="s">
        <v>103</v>
      </c>
      <c r="AI62" s="18" t="s">
        <v>103</v>
      </c>
      <c r="AJ62" s="18" t="s">
        <v>102</v>
      </c>
      <c r="AK62" s="18" t="s">
        <v>102</v>
      </c>
      <c r="AL62" s="18" t="s">
        <v>103</v>
      </c>
      <c r="AO62" t="s">
        <v>102</v>
      </c>
    </row>
    <row r="63" spans="1:49" s="11" customFormat="1" x14ac:dyDescent="0.2">
      <c r="H63" s="11" t="s">
        <v>6</v>
      </c>
      <c r="I63" s="12">
        <v>15</v>
      </c>
      <c r="J63" s="13">
        <v>0.1996</v>
      </c>
      <c r="K63" s="12">
        <v>25</v>
      </c>
      <c r="M63" s="14" t="s">
        <v>37</v>
      </c>
      <c r="N63" s="15">
        <v>0.25141999999999998</v>
      </c>
      <c r="O63" s="15">
        <v>0.26895000000000002</v>
      </c>
      <c r="P63" s="15">
        <v>86.159000000000006</v>
      </c>
      <c r="Q63" s="15">
        <v>3.3180000000000001E-2</v>
      </c>
      <c r="R63" s="15">
        <v>0.64732000000000001</v>
      </c>
      <c r="S63" s="15">
        <v>231.97</v>
      </c>
      <c r="T63" s="15">
        <v>21.096</v>
      </c>
      <c r="U63" s="15">
        <v>0.24304000000000001</v>
      </c>
      <c r="V63" s="15">
        <v>6.5236999999999998</v>
      </c>
      <c r="W63" s="15">
        <v>40.725999999999999</v>
      </c>
      <c r="X63" s="15">
        <v>24.042999999999999</v>
      </c>
      <c r="Y63" s="15">
        <v>0.24657000000000001</v>
      </c>
      <c r="AA63" s="19">
        <f>((N63*$K63)-N$77)/$J63</f>
        <v>31.490480961923843</v>
      </c>
      <c r="AB63" s="19">
        <f>((O63*$K63)-O$77)/$J63</f>
        <v>33.686122244488985</v>
      </c>
      <c r="AC63" s="19">
        <f>((P63*$K63)-P$77)/$J63/10000</f>
        <v>1.0789735220440884</v>
      </c>
      <c r="AD63" s="19">
        <f>((Q63*$K63)-Q$77)/$J63</f>
        <v>4.1558116232464934</v>
      </c>
      <c r="AE63" s="19">
        <f>((R63*$K63)-R$77)/$J63</f>
        <v>80.679358717434866</v>
      </c>
      <c r="AF63" s="19">
        <f>((S63*$K63)-S$77)/$J63/10000</f>
        <v>2.9043632765531058</v>
      </c>
      <c r="AG63" s="19">
        <f>((T63*$K63)-T$77)/$J63/1000</f>
        <v>2.6422845691382761</v>
      </c>
      <c r="AH63" s="19">
        <f>((U63*$K63)-U$77)/$J63</f>
        <v>30.440881763527056</v>
      </c>
      <c r="AI63" s="19">
        <f>((V63*$K63)-V$77)/$J63</f>
        <v>817.09669338677361</v>
      </c>
      <c r="AJ63" s="19">
        <f t="shared" ref="AJ63:AK67" si="28">((W63*$K63)-W$77)/$J63/10000</f>
        <v>0.50952742985971944</v>
      </c>
      <c r="AK63" s="19">
        <f t="shared" si="28"/>
        <v>0.29977439879759515</v>
      </c>
      <c r="AL63" s="19">
        <f>((Y63*$K63)-Y$77)/$J63</f>
        <v>30.883016032064127</v>
      </c>
      <c r="AO63" s="11">
        <v>1.0789735220440884</v>
      </c>
    </row>
    <row r="64" spans="1:49" s="11" customFormat="1" x14ac:dyDescent="0.2">
      <c r="H64" s="11" t="s">
        <v>6</v>
      </c>
      <c r="I64" s="12">
        <v>30</v>
      </c>
      <c r="J64" s="13">
        <v>0.19850000000000001</v>
      </c>
      <c r="K64" s="12">
        <v>25</v>
      </c>
      <c r="M64" s="14" t="s">
        <v>52</v>
      </c>
      <c r="N64" s="15">
        <v>0.36963000000000001</v>
      </c>
      <c r="O64" s="15">
        <v>0.27087</v>
      </c>
      <c r="P64" s="15">
        <v>88.820999999999998</v>
      </c>
      <c r="Q64" s="15">
        <v>3.4520000000000002E-2</v>
      </c>
      <c r="R64" s="15">
        <v>0.68701000000000001</v>
      </c>
      <c r="S64" s="15">
        <v>231.2</v>
      </c>
      <c r="T64" s="15">
        <v>21.047000000000001</v>
      </c>
      <c r="U64" s="15">
        <v>0.24829000000000001</v>
      </c>
      <c r="V64" s="15">
        <v>6.4539999999999997</v>
      </c>
      <c r="W64" s="15">
        <v>41.33</v>
      </c>
      <c r="X64" s="15">
        <v>24.529</v>
      </c>
      <c r="Y64" s="15">
        <v>0.254</v>
      </c>
      <c r="AA64" s="19">
        <f>((N64*$K64)-N$77)/$J64</f>
        <v>46.552896725440803</v>
      </c>
      <c r="AB64" s="19">
        <f>((O64*$K64)-O$77)/$J64</f>
        <v>34.114609571788414</v>
      </c>
      <c r="AC64" s="19">
        <f>((P64*$K64)-P$77)/$J64/10000</f>
        <v>1.1184791687657429</v>
      </c>
      <c r="AD64" s="19">
        <f>((Q64*$K64)-Q$77)/$J64</f>
        <v>4.3476070528967261</v>
      </c>
      <c r="AE64" s="19">
        <f>((R64*$K64)-R$77)/$J64</f>
        <v>86.125188916876581</v>
      </c>
      <c r="AF64" s="19">
        <f>((S64*$K64)-S$77)/$J64/10000</f>
        <v>2.9107602518891684</v>
      </c>
      <c r="AG64" s="19">
        <f t="shared" ref="AG64:AG67" si="29">((T64*$K64)-T$77)/$J64/1000</f>
        <v>2.6507556675062975</v>
      </c>
      <c r="AH64" s="19">
        <f>((U64*$K64)-U$77)/$J64</f>
        <v>31.270780856423173</v>
      </c>
      <c r="AI64" s="19">
        <f>((V64*$K64)-V$77)/$J64</f>
        <v>812.84634760705285</v>
      </c>
      <c r="AJ64" s="19">
        <f t="shared" si="28"/>
        <v>0.51995806045340043</v>
      </c>
      <c r="AK64" s="19">
        <f t="shared" si="28"/>
        <v>0.30755652392947103</v>
      </c>
      <c r="AL64" s="19">
        <f>((Y64*$K64)-Y$77)/$J64</f>
        <v>31.989924433249367</v>
      </c>
      <c r="AO64" s="11">
        <v>1.1184791687657429</v>
      </c>
    </row>
    <row r="65" spans="8:41" s="11" customFormat="1" x14ac:dyDescent="0.2">
      <c r="H65" s="11" t="s">
        <v>6</v>
      </c>
      <c r="I65" s="12">
        <v>45</v>
      </c>
      <c r="J65" s="13">
        <v>0.19869999999999999</v>
      </c>
      <c r="K65" s="12">
        <v>25</v>
      </c>
      <c r="M65" s="14" t="s">
        <v>67</v>
      </c>
      <c r="N65" s="15">
        <v>0.27477000000000001</v>
      </c>
      <c r="O65" s="15">
        <v>0.27872999999999998</v>
      </c>
      <c r="P65" s="15">
        <v>91.066999999999993</v>
      </c>
      <c r="Q65" s="15">
        <v>3.7199999999999997E-2</v>
      </c>
      <c r="R65" s="15">
        <v>0.69286000000000003</v>
      </c>
      <c r="S65" s="15">
        <v>240.17</v>
      </c>
      <c r="T65" s="15">
        <v>21.692</v>
      </c>
      <c r="U65" s="15">
        <v>0.25402000000000002</v>
      </c>
      <c r="V65" s="15">
        <v>6.6520000000000001</v>
      </c>
      <c r="W65" s="15">
        <v>42.237000000000002</v>
      </c>
      <c r="X65" s="15">
        <v>25.417000000000002</v>
      </c>
      <c r="Y65" s="15">
        <v>0.26484000000000002</v>
      </c>
      <c r="AA65" s="19">
        <f t="shared" ref="AA65:AA67" si="30">((N65*$K65)-N$77)/$J65</f>
        <v>34.570961248112738</v>
      </c>
      <c r="AB65" s="19">
        <f t="shared" ref="AB65:AB67" si="31">((O65*$K65)-O$77)/$J65</f>
        <v>35.069199798691493</v>
      </c>
      <c r="AC65" s="19">
        <f>((P65*$K65)-P$77)/$J65/10000</f>
        <v>1.1456120533467538</v>
      </c>
      <c r="AD65" s="19">
        <f t="shared" ref="AD65:AD67" si="32">((Q65*$K65)-Q$77)/$J65</f>
        <v>4.6804227478610967</v>
      </c>
      <c r="AE65" s="19">
        <f t="shared" ref="AE65:AE67" si="33">((R65*$K65)-R$77)/$J65</f>
        <v>86.774534474081534</v>
      </c>
      <c r="AF65" s="19">
        <f>((S65*$K65)-S$77)/$J65/10000</f>
        <v>3.0206890286864621</v>
      </c>
      <c r="AG65" s="19">
        <f t="shared" si="29"/>
        <v>2.7292400603925517</v>
      </c>
      <c r="AH65" s="19">
        <f t="shared" ref="AH65:AH67" si="34">((U65*$K65)-U$77)/$J65</f>
        <v>31.960241570206346</v>
      </c>
      <c r="AI65" s="19">
        <f>((V65*$K65)-V$77)/$J65</f>
        <v>836.94011071967805</v>
      </c>
      <c r="AJ65" s="19">
        <f t="shared" si="28"/>
        <v>0.5308463764469048</v>
      </c>
      <c r="AK65" s="19">
        <f t="shared" si="28"/>
        <v>0.31841957725213899</v>
      </c>
      <c r="AL65" s="19">
        <f t="shared" ref="AL65:AL67" si="35">((Y65*$K65)-Y$77)/$J65</f>
        <v>33.321590337191751</v>
      </c>
      <c r="AO65" s="11">
        <v>1.1456120533467538</v>
      </c>
    </row>
    <row r="66" spans="8:41" s="11" customFormat="1" x14ac:dyDescent="0.2">
      <c r="H66" s="11" t="s">
        <v>6</v>
      </c>
      <c r="I66" s="12">
        <v>60</v>
      </c>
      <c r="J66" s="13">
        <v>0.19900000000000001</v>
      </c>
      <c r="K66" s="12">
        <v>25</v>
      </c>
      <c r="M66" s="14" t="s">
        <v>82</v>
      </c>
      <c r="N66" s="15">
        <v>0.23674999999999999</v>
      </c>
      <c r="O66" s="15">
        <v>0.26695000000000002</v>
      </c>
      <c r="P66" s="15">
        <v>87.914000000000001</v>
      </c>
      <c r="Q66" s="15">
        <v>3.7990000000000003E-2</v>
      </c>
      <c r="R66" s="15">
        <v>0.65227999999999997</v>
      </c>
      <c r="S66" s="15">
        <v>233.63</v>
      </c>
      <c r="T66" s="15">
        <v>20.971</v>
      </c>
      <c r="U66" s="15">
        <v>0.24221000000000001</v>
      </c>
      <c r="V66" s="15">
        <v>6.3964999999999996</v>
      </c>
      <c r="W66" s="15">
        <v>40.621000000000002</v>
      </c>
      <c r="X66" s="15">
        <v>24.276</v>
      </c>
      <c r="Y66" s="15">
        <v>0.25305</v>
      </c>
      <c r="AA66" s="19">
        <f t="shared" si="30"/>
        <v>29.742462311557784</v>
      </c>
      <c r="AB66" s="19">
        <f t="shared" si="31"/>
        <v>33.536432160804019</v>
      </c>
      <c r="AC66" s="19">
        <f>((P66*$K66)-P$77)/$J66/10000</f>
        <v>1.1042744472361807</v>
      </c>
      <c r="AD66" s="19">
        <f t="shared" si="32"/>
        <v>4.7726130653266337</v>
      </c>
      <c r="AE66" s="19">
        <f t="shared" si="33"/>
        <v>81.545728643216066</v>
      </c>
      <c r="AF66" s="19">
        <f>((S66*$K66)-S$77)/$J66/10000</f>
        <v>2.9339744221105524</v>
      </c>
      <c r="AG66" s="19">
        <f t="shared" si="29"/>
        <v>2.6345477386934673</v>
      </c>
      <c r="AH66" s="19">
        <f t="shared" si="34"/>
        <v>30.428391959798994</v>
      </c>
      <c r="AI66" s="19">
        <f>((V66*$K66)-V$77)/$J66</f>
        <v>803.58040201005019</v>
      </c>
      <c r="AJ66" s="19">
        <f t="shared" si="28"/>
        <v>0.50974459798994975</v>
      </c>
      <c r="AK66" s="19">
        <f t="shared" si="28"/>
        <v>0.30360537688442207</v>
      </c>
      <c r="AL66" s="19">
        <f t="shared" si="35"/>
        <v>31.790201005025125</v>
      </c>
      <c r="AO66" s="11">
        <v>1.1042744472361807</v>
      </c>
    </row>
    <row r="67" spans="8:41" s="11" customFormat="1" x14ac:dyDescent="0.2">
      <c r="H67" s="11" t="s">
        <v>6</v>
      </c>
      <c r="I67" s="12">
        <v>66</v>
      </c>
      <c r="J67" s="13">
        <v>0.2001</v>
      </c>
      <c r="K67" s="12">
        <v>25</v>
      </c>
      <c r="M67" s="14" t="s">
        <v>88</v>
      </c>
      <c r="N67" s="15">
        <v>0.22538</v>
      </c>
      <c r="O67" s="15">
        <v>0.26840000000000003</v>
      </c>
      <c r="P67" s="15">
        <v>87.052999999999997</v>
      </c>
      <c r="Q67" s="15">
        <v>3.2870000000000003E-2</v>
      </c>
      <c r="R67" s="15">
        <v>0.64495000000000002</v>
      </c>
      <c r="S67" s="15">
        <v>233.04</v>
      </c>
      <c r="T67" s="15">
        <v>20.879000000000001</v>
      </c>
      <c r="U67" s="15">
        <v>0.24253</v>
      </c>
      <c r="V67" s="15">
        <v>6.42</v>
      </c>
      <c r="W67" s="15">
        <v>40.878</v>
      </c>
      <c r="X67" s="15">
        <v>24.411999999999999</v>
      </c>
      <c r="Y67" s="15">
        <v>0.24551000000000001</v>
      </c>
      <c r="AA67" s="19">
        <f t="shared" si="30"/>
        <v>28.158420789605199</v>
      </c>
      <c r="AB67" s="19">
        <f t="shared" si="31"/>
        <v>33.53323338330835</v>
      </c>
      <c r="AC67" s="19">
        <f>((P67*$K67)-P$77)/$J67/10000</f>
        <v>1.0874468515742126</v>
      </c>
      <c r="AD67" s="19">
        <f t="shared" si="32"/>
        <v>4.106696651674163</v>
      </c>
      <c r="AE67" s="19">
        <f t="shared" si="33"/>
        <v>80.181659170414804</v>
      </c>
      <c r="AF67" s="19">
        <f>((S67*$K67)-S$77)/$J67/10000</f>
        <v>2.9104743128435779</v>
      </c>
      <c r="AG67" s="19">
        <f t="shared" si="29"/>
        <v>2.6085707146426791</v>
      </c>
      <c r="AH67" s="19">
        <f t="shared" si="34"/>
        <v>30.301099450274862</v>
      </c>
      <c r="AI67" s="19">
        <f>((V67*$K67)-V$77)/$J67</f>
        <v>802.09895052473757</v>
      </c>
      <c r="AJ67" s="19">
        <f t="shared" si="28"/>
        <v>0.51015329835082468</v>
      </c>
      <c r="AK67" s="19">
        <f t="shared" si="28"/>
        <v>0.30363553223388307</v>
      </c>
      <c r="AL67" s="19">
        <f t="shared" si="35"/>
        <v>30.673413293353327</v>
      </c>
      <c r="AO67" s="11">
        <v>1.0874468515742126</v>
      </c>
    </row>
    <row r="70" spans="8:41" x14ac:dyDescent="0.2">
      <c r="AA70" s="3" t="s">
        <v>90</v>
      </c>
      <c r="AB70" s="3" t="s">
        <v>91</v>
      </c>
      <c r="AC70" s="3" t="s">
        <v>92</v>
      </c>
      <c r="AD70" s="3" t="s">
        <v>93</v>
      </c>
      <c r="AE70" s="3" t="s">
        <v>94</v>
      </c>
      <c r="AF70" s="3" t="s">
        <v>95</v>
      </c>
      <c r="AG70" s="3" t="s">
        <v>96</v>
      </c>
      <c r="AH70" s="3" t="s">
        <v>97</v>
      </c>
      <c r="AI70" s="3" t="s">
        <v>98</v>
      </c>
      <c r="AJ70" s="3" t="s">
        <v>99</v>
      </c>
      <c r="AK70" s="3" t="s">
        <v>100</v>
      </c>
      <c r="AL70" s="3" t="s">
        <v>101</v>
      </c>
      <c r="AO70" t="s">
        <v>92</v>
      </c>
    </row>
    <row r="71" spans="8:41" s="11" customFormat="1" x14ac:dyDescent="0.2">
      <c r="H71" s="11" t="s">
        <v>5</v>
      </c>
      <c r="I71" s="12">
        <v>14</v>
      </c>
      <c r="J71" s="13"/>
      <c r="K71" s="12">
        <v>25</v>
      </c>
      <c r="M71" s="14" t="s">
        <v>36</v>
      </c>
      <c r="N71" s="15">
        <v>0</v>
      </c>
      <c r="O71" s="15">
        <v>0</v>
      </c>
      <c r="P71" s="15">
        <v>5.5010000000000003E-2</v>
      </c>
      <c r="Q71" s="15">
        <v>0</v>
      </c>
      <c r="R71" s="15">
        <v>0</v>
      </c>
      <c r="S71" s="15">
        <v>1.541E-2</v>
      </c>
      <c r="T71" s="15">
        <v>0</v>
      </c>
      <c r="U71" s="15">
        <v>0</v>
      </c>
      <c r="V71" s="15">
        <v>0</v>
      </c>
      <c r="W71" s="15">
        <v>6.0690000000000001E-2</v>
      </c>
      <c r="X71" s="15">
        <v>0.11802</v>
      </c>
      <c r="Y71" s="15">
        <v>0</v>
      </c>
      <c r="AA71" s="18" t="s">
        <v>103</v>
      </c>
      <c r="AB71" s="18" t="s">
        <v>103</v>
      </c>
      <c r="AC71" s="18" t="s">
        <v>102</v>
      </c>
      <c r="AD71" s="18" t="s">
        <v>103</v>
      </c>
      <c r="AE71" s="18" t="s">
        <v>103</v>
      </c>
      <c r="AF71" s="18" t="s">
        <v>102</v>
      </c>
      <c r="AG71" s="18" t="s">
        <v>102</v>
      </c>
      <c r="AH71" s="18" t="s">
        <v>103</v>
      </c>
      <c r="AI71" s="18" t="s">
        <v>103</v>
      </c>
      <c r="AJ71" s="18" t="s">
        <v>102</v>
      </c>
      <c r="AK71" s="18" t="s">
        <v>102</v>
      </c>
      <c r="AL71" s="18" t="s">
        <v>103</v>
      </c>
      <c r="AO71" s="11" t="s">
        <v>102</v>
      </c>
    </row>
    <row r="72" spans="8:41" s="11" customFormat="1" x14ac:dyDescent="0.2">
      <c r="H72" s="11" t="s">
        <v>5</v>
      </c>
      <c r="I72" s="12">
        <v>29</v>
      </c>
      <c r="J72" s="13"/>
      <c r="K72" s="12">
        <v>25</v>
      </c>
      <c r="M72" s="14" t="s">
        <v>51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2.1510000000000001E-2</v>
      </c>
      <c r="X72" s="15">
        <v>8.9330000000000007E-2</v>
      </c>
      <c r="Y72" s="15">
        <v>0</v>
      </c>
      <c r="AA72" s="21"/>
      <c r="AB72" s="21">
        <v>34.06</v>
      </c>
      <c r="AC72" s="21">
        <v>1.1100000000000001</v>
      </c>
      <c r="AD72" s="21">
        <v>4.4800000000000004</v>
      </c>
      <c r="AE72" s="21">
        <v>83.66</v>
      </c>
      <c r="AF72" s="21">
        <v>2.94</v>
      </c>
      <c r="AG72" s="21">
        <v>2.66</v>
      </c>
      <c r="AH72" s="21">
        <v>30.99</v>
      </c>
      <c r="AI72" s="21">
        <v>813.87</v>
      </c>
      <c r="AJ72" s="21">
        <v>0.52</v>
      </c>
      <c r="AK72" s="21">
        <v>0.31</v>
      </c>
      <c r="AL72" s="21">
        <v>31.94</v>
      </c>
      <c r="AO72" s="11">
        <v>1.1100000000000001</v>
      </c>
    </row>
    <row r="73" spans="8:41" s="11" customFormat="1" x14ac:dyDescent="0.2">
      <c r="H73" s="11" t="s">
        <v>5</v>
      </c>
      <c r="I73" s="12">
        <v>44</v>
      </c>
      <c r="J73" s="13"/>
      <c r="K73" s="12">
        <v>25</v>
      </c>
      <c r="M73" s="14" t="s">
        <v>66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5.6579999999999998E-2</v>
      </c>
      <c r="T73" s="15">
        <v>0</v>
      </c>
      <c r="U73" s="15">
        <v>0</v>
      </c>
      <c r="V73" s="15">
        <v>0</v>
      </c>
      <c r="W73" s="15">
        <v>6.8940000000000001E-2</v>
      </c>
      <c r="X73" s="15">
        <v>0.12509000000000001</v>
      </c>
      <c r="Y73" s="15">
        <v>0</v>
      </c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</row>
    <row r="74" spans="8:41" s="11" customFormat="1" x14ac:dyDescent="0.2">
      <c r="H74" s="11" t="s">
        <v>5</v>
      </c>
      <c r="I74" s="12">
        <v>59</v>
      </c>
      <c r="J74" s="13"/>
      <c r="K74" s="12">
        <v>25</v>
      </c>
      <c r="M74" s="14" t="s">
        <v>81</v>
      </c>
      <c r="N74" s="15">
        <v>0</v>
      </c>
      <c r="O74" s="15">
        <v>0</v>
      </c>
      <c r="P74" s="15">
        <v>0</v>
      </c>
      <c r="Q74" s="15">
        <v>0</v>
      </c>
      <c r="R74" s="15">
        <v>1.172E-2</v>
      </c>
      <c r="S74" s="15">
        <v>0.17168</v>
      </c>
      <c r="T74" s="15">
        <v>0</v>
      </c>
      <c r="U74" s="15">
        <v>0</v>
      </c>
      <c r="V74" s="15">
        <v>0</v>
      </c>
      <c r="W74" s="15">
        <v>5.2409999999999998E-2</v>
      </c>
      <c r="X74" s="15">
        <v>0.12653</v>
      </c>
      <c r="Y74" s="15">
        <v>0</v>
      </c>
      <c r="Z74" s="23"/>
      <c r="AA74" s="24" t="s">
        <v>104</v>
      </c>
      <c r="AB74" s="21"/>
      <c r="AC74" s="21"/>
      <c r="AD74" s="21"/>
      <c r="AE74" s="21"/>
      <c r="AF74" s="20"/>
      <c r="AG74" s="20"/>
      <c r="AH74" s="20"/>
      <c r="AI74" s="20"/>
      <c r="AJ74" s="20"/>
      <c r="AK74" s="20"/>
      <c r="AL74" s="20"/>
    </row>
    <row r="75" spans="8:41" s="11" customFormat="1" x14ac:dyDescent="0.2">
      <c r="H75" s="11" t="s">
        <v>5</v>
      </c>
      <c r="I75" s="12">
        <v>65</v>
      </c>
      <c r="J75" s="13"/>
      <c r="K75" s="12">
        <v>25</v>
      </c>
      <c r="M75" s="14" t="s">
        <v>87</v>
      </c>
      <c r="N75" s="15">
        <v>0</v>
      </c>
      <c r="O75" s="15">
        <v>0</v>
      </c>
      <c r="P75" s="15">
        <v>1.376E-2</v>
      </c>
      <c r="Q75" s="15">
        <v>0</v>
      </c>
      <c r="R75" s="15">
        <v>4.1599999999999996E-3</v>
      </c>
      <c r="S75" s="15">
        <v>0.18451000000000001</v>
      </c>
      <c r="T75" s="15">
        <v>0</v>
      </c>
      <c r="U75" s="15">
        <v>0</v>
      </c>
      <c r="V75" s="15">
        <v>0</v>
      </c>
      <c r="W75" s="15">
        <v>2.3099999999999999E-2</v>
      </c>
      <c r="X75" s="15">
        <v>8.609E-2</v>
      </c>
      <c r="Y75" s="15">
        <v>0</v>
      </c>
    </row>
    <row r="77" spans="8:41" x14ac:dyDescent="0.2">
      <c r="L77" s="10" t="s">
        <v>89</v>
      </c>
      <c r="N77">
        <f>((N71+N72+N73+N74+N75)*25)/5</f>
        <v>0</v>
      </c>
      <c r="O77">
        <f t="shared" ref="O77:X77" si="36">((O71+O72+O73+O74+O75)*25)/5</f>
        <v>0</v>
      </c>
      <c r="P77">
        <f t="shared" si="36"/>
        <v>0.34384999999999999</v>
      </c>
      <c r="Q77">
        <f t="shared" si="36"/>
        <v>0</v>
      </c>
      <c r="R77">
        <f t="shared" si="36"/>
        <v>7.9399999999999998E-2</v>
      </c>
      <c r="S77">
        <f t="shared" si="36"/>
        <v>2.1408999999999998</v>
      </c>
      <c r="T77">
        <f t="shared" si="36"/>
        <v>0</v>
      </c>
      <c r="U77">
        <f t="shared" si="36"/>
        <v>0</v>
      </c>
      <c r="V77">
        <f t="shared" si="36"/>
        <v>0</v>
      </c>
      <c r="W77">
        <f t="shared" si="36"/>
        <v>1.1332500000000001</v>
      </c>
      <c r="X77">
        <f t="shared" si="36"/>
        <v>2.7252999999999998</v>
      </c>
    </row>
    <row r="78" spans="8:41" ht="15" x14ac:dyDescent="0.25"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8"/>
  <sheetViews>
    <sheetView topLeftCell="AH1" workbookViewId="0">
      <selection activeCell="AN14" sqref="AN14"/>
    </sheetView>
  </sheetViews>
  <sheetFormatPr defaultRowHeight="12.75" x14ac:dyDescent="0.2"/>
  <cols>
    <col min="3" max="3" width="14" customWidth="1"/>
    <col min="4" max="4" width="5.5703125" hidden="1" customWidth="1"/>
    <col min="5" max="5" width="9.140625" hidden="1" customWidth="1"/>
    <col min="6" max="6" width="6.7109375" hidden="1" customWidth="1"/>
    <col min="7" max="7" width="7.28515625" hidden="1" customWidth="1"/>
    <col min="8" max="13" width="9.140625" hidden="1" customWidth="1"/>
    <col min="14" max="14" width="8" hidden="1" customWidth="1"/>
    <col min="15" max="15" width="7.42578125" style="50" hidden="1" customWidth="1"/>
    <col min="16" max="16" width="9.140625" hidden="1" customWidth="1"/>
    <col min="17" max="17" width="7.7109375" hidden="1" customWidth="1"/>
    <col min="18" max="18" width="9.85546875" hidden="1" customWidth="1"/>
    <col min="19" max="19" width="8.7109375" hidden="1" customWidth="1"/>
    <col min="20" max="20" width="8" hidden="1" customWidth="1"/>
    <col min="21" max="21" width="8.140625" hidden="1" customWidth="1"/>
    <col min="22" max="22" width="10.28515625" hidden="1" customWidth="1"/>
    <col min="23" max="23" width="8.5703125" hidden="1" customWidth="1"/>
    <col min="24" max="24" width="7.42578125" hidden="1" customWidth="1"/>
    <col min="25" max="25" width="6.140625" hidden="1" customWidth="1"/>
    <col min="26" max="26" width="5.85546875" hidden="1" customWidth="1"/>
    <col min="27" max="27" width="7.7109375" style="87" hidden="1" customWidth="1"/>
    <col min="28" max="28" width="6.5703125" style="50" hidden="1" customWidth="1"/>
    <col min="29" max="29" width="7.28515625" style="87" hidden="1" customWidth="1"/>
    <col min="30" max="30" width="8.28515625" hidden="1" customWidth="1"/>
    <col min="31" max="31" width="10.140625" hidden="1" customWidth="1"/>
    <col min="32" max="32" width="12" hidden="1" customWidth="1"/>
    <col min="33" max="33" width="7.42578125" style="87" hidden="1" customWidth="1"/>
    <col min="34" max="34" width="6.5703125" customWidth="1"/>
    <col min="35" max="35" width="9.140625" style="87" customWidth="1"/>
    <col min="36" max="36" width="8.7109375" style="50" customWidth="1"/>
    <col min="37" max="37" width="12.28515625" style="87" customWidth="1"/>
    <col min="38" max="38" width="11.7109375" customWidth="1"/>
    <col min="39" max="39" width="9.140625" style="87"/>
    <col min="40" max="40" width="8.85546875" style="87"/>
    <col min="48" max="48" width="12.7109375" customWidth="1"/>
    <col min="49" max="49" width="10.28515625" customWidth="1"/>
    <col min="50" max="50" width="12.42578125" customWidth="1"/>
    <col min="51" max="51" width="9.7109375" customWidth="1"/>
    <col min="52" max="52" width="8.85546875" customWidth="1"/>
    <col min="54" max="54" width="9.7109375" customWidth="1"/>
    <col min="55" max="55" width="11.28515625" customWidth="1"/>
  </cols>
  <sheetData>
    <row r="1" spans="1:56" s="87" customFormat="1" x14ac:dyDescent="0.2">
      <c r="F1" s="87" t="s">
        <v>331</v>
      </c>
      <c r="W1" s="87" t="s">
        <v>167</v>
      </c>
    </row>
    <row r="2" spans="1:56" ht="51" x14ac:dyDescent="0.2">
      <c r="H2" t="s">
        <v>157</v>
      </c>
      <c r="N2" t="s">
        <v>158</v>
      </c>
      <c r="O2" s="50" t="s">
        <v>158</v>
      </c>
      <c r="P2" t="s">
        <v>159</v>
      </c>
      <c r="Q2" t="s">
        <v>159</v>
      </c>
      <c r="W2" s="50" t="s">
        <v>158</v>
      </c>
      <c r="X2" t="s">
        <v>159</v>
      </c>
      <c r="Y2" t="s">
        <v>159</v>
      </c>
      <c r="AA2" s="89" t="s">
        <v>322</v>
      </c>
      <c r="AB2" s="86" t="s">
        <v>322</v>
      </c>
      <c r="AC2" s="84" t="s">
        <v>321</v>
      </c>
      <c r="AE2" t="s">
        <v>324</v>
      </c>
      <c r="AF2" t="s">
        <v>135</v>
      </c>
      <c r="AG2" s="87" t="s">
        <v>325</v>
      </c>
      <c r="AH2" t="s">
        <v>325</v>
      </c>
      <c r="AI2" s="89" t="s">
        <v>326</v>
      </c>
      <c r="AJ2" s="86" t="s">
        <v>326</v>
      </c>
      <c r="AK2" s="89" t="s">
        <v>327</v>
      </c>
      <c r="AL2" s="84" t="s">
        <v>327</v>
      </c>
      <c r="AM2" s="89" t="s">
        <v>328</v>
      </c>
      <c r="AN2" s="89" t="s">
        <v>329</v>
      </c>
    </row>
    <row r="3" spans="1:56" x14ac:dyDescent="0.2">
      <c r="A3" s="25" t="s">
        <v>105</v>
      </c>
      <c r="B3" s="25" t="s">
        <v>106</v>
      </c>
      <c r="C3" s="25"/>
      <c r="D3" s="26" t="s">
        <v>107</v>
      </c>
      <c r="E3" s="26" t="s">
        <v>108</v>
      </c>
      <c r="F3" s="26" t="s">
        <v>109</v>
      </c>
      <c r="G3" s="26"/>
      <c r="H3" t="s">
        <v>2</v>
      </c>
      <c r="I3" t="s">
        <v>4</v>
      </c>
      <c r="J3" s="1" t="s">
        <v>150</v>
      </c>
      <c r="K3" s="1" t="s">
        <v>151</v>
      </c>
      <c r="L3" s="1" t="s">
        <v>152</v>
      </c>
      <c r="M3" s="1" t="s">
        <v>153</v>
      </c>
      <c r="N3" s="1" t="s">
        <v>154</v>
      </c>
      <c r="O3" s="49" t="s">
        <v>113</v>
      </c>
      <c r="P3" s="1" t="s">
        <v>155</v>
      </c>
      <c r="Q3" s="1" t="s">
        <v>113</v>
      </c>
      <c r="R3" s="1" t="s">
        <v>156</v>
      </c>
      <c r="S3" s="1" t="s">
        <v>160</v>
      </c>
      <c r="T3" s="1" t="s">
        <v>161</v>
      </c>
      <c r="W3" s="49" t="s">
        <v>113</v>
      </c>
      <c r="X3" s="1" t="s">
        <v>155</v>
      </c>
      <c r="Y3" s="1" t="s">
        <v>113</v>
      </c>
      <c r="AM3" s="87">
        <v>9187</v>
      </c>
      <c r="AN3" s="87">
        <v>1679</v>
      </c>
      <c r="AU3" s="2" t="s">
        <v>345</v>
      </c>
      <c r="AV3" s="2"/>
      <c r="AW3" s="2"/>
      <c r="AX3" s="2"/>
      <c r="AY3" s="2" t="s">
        <v>335</v>
      </c>
      <c r="AZ3" s="2" t="s">
        <v>336</v>
      </c>
      <c r="BA3" s="2" t="s">
        <v>334</v>
      </c>
      <c r="BB3" s="122" t="s">
        <v>343</v>
      </c>
      <c r="BC3" s="5" t="s">
        <v>344</v>
      </c>
      <c r="BD3" s="2"/>
    </row>
    <row r="4" spans="1:56" x14ac:dyDescent="0.2">
      <c r="A4">
        <v>1</v>
      </c>
      <c r="B4" t="s">
        <v>163</v>
      </c>
      <c r="D4" s="8">
        <v>1</v>
      </c>
      <c r="E4" s="29">
        <v>1</v>
      </c>
      <c r="F4" s="8" t="s">
        <v>91</v>
      </c>
      <c r="G4" s="8" t="s">
        <v>115</v>
      </c>
      <c r="H4">
        <v>1</v>
      </c>
      <c r="I4">
        <v>1</v>
      </c>
      <c r="J4" s="1">
        <v>1</v>
      </c>
      <c r="K4" s="1">
        <v>1</v>
      </c>
      <c r="L4" s="1">
        <v>36</v>
      </c>
      <c r="M4" s="1">
        <v>4</v>
      </c>
      <c r="N4" s="1">
        <v>36</v>
      </c>
      <c r="O4" s="51">
        <f t="shared" ref="O4:O35" si="0">(N4-(0.08*P4))-52</f>
        <v>-17.600000000000001</v>
      </c>
      <c r="P4" s="1">
        <v>20</v>
      </c>
      <c r="Q4" s="49">
        <f t="shared" ref="Q4:Q13" si="1">P4-20</f>
        <v>0</v>
      </c>
      <c r="R4" s="1">
        <v>990.31</v>
      </c>
      <c r="S4" s="1">
        <v>330.28</v>
      </c>
      <c r="T4" s="48">
        <v>0.12509259259259259</v>
      </c>
      <c r="U4" t="s">
        <v>162</v>
      </c>
      <c r="W4" s="29">
        <v>443</v>
      </c>
      <c r="X4" s="29">
        <v>0</v>
      </c>
      <c r="Y4" s="29">
        <v>-20</v>
      </c>
      <c r="AA4" s="88">
        <f t="shared" ref="AA4:AA35" si="2">8.24*N4/60</f>
        <v>4.944</v>
      </c>
      <c r="AB4" s="40">
        <f t="shared" ref="AB4:AB35" si="3">8.24*O4/60</f>
        <v>-2.4170666666666674</v>
      </c>
      <c r="AC4" s="88">
        <f t="shared" ref="AC4:AC35" si="4">14.01*P4/60</f>
        <v>4.67</v>
      </c>
      <c r="AD4" s="9">
        <f t="shared" ref="AD4:AD35" si="5">14.01*Q4/60</f>
        <v>0</v>
      </c>
      <c r="AE4" s="9">
        <v>7.968</v>
      </c>
      <c r="AF4" s="9">
        <v>0.39005609939759039</v>
      </c>
      <c r="AG4" s="88">
        <f t="shared" ref="AG4:AG35" si="6">(AE4*3*AF4)/100</f>
        <v>9.3239010000000011E-2</v>
      </c>
      <c r="AH4" s="54">
        <f t="shared" ref="AH4:AH35" si="7">AE4*AF4/10</f>
        <v>0.31079670000000004</v>
      </c>
      <c r="AI4" s="90">
        <f t="shared" ref="AI4:AI35" si="8">AA4/AG4</f>
        <v>53.025016031379991</v>
      </c>
      <c r="AJ4" s="73">
        <f t="shared" ref="AJ4:AJ35" si="9">AB4/AH4</f>
        <v>-7.7770023512690676</v>
      </c>
      <c r="AK4" s="90">
        <f t="shared" ref="AK4:AK35" si="10">AC4/AG4</f>
        <v>50.086331890482313</v>
      </c>
      <c r="AL4" s="72">
        <f t="shared" ref="AL4:AL35" si="11">AD4/AH4</f>
        <v>0</v>
      </c>
      <c r="AM4" s="88">
        <f t="shared" ref="AM4:AM21" si="12">AI4/AM$3*100</f>
        <v>0.57717444248808092</v>
      </c>
      <c r="AN4" s="91">
        <f t="shared" ref="AN4:AN21" si="13">AK4/AN$3*100</f>
        <v>2.9831049368959093</v>
      </c>
      <c r="AO4" s="56">
        <f>(AR4+AR6+AR8+AR10)/4</f>
        <v>1.6977124243017927</v>
      </c>
      <c r="AP4" s="56">
        <f>(AS4+AS6+AS8+AS10)/4</f>
        <v>3.2320811560251612</v>
      </c>
      <c r="AR4" s="56">
        <v>2.9831049368959093</v>
      </c>
      <c r="AS4" s="56">
        <v>0.57717444248808092</v>
      </c>
      <c r="AU4" s="2"/>
      <c r="AV4" s="2"/>
      <c r="AW4" s="114" t="s">
        <v>340</v>
      </c>
      <c r="AX4" s="114" t="s">
        <v>339</v>
      </c>
      <c r="AY4" s="2" t="s">
        <v>341</v>
      </c>
      <c r="AZ4" s="2" t="s">
        <v>341</v>
      </c>
      <c r="BA4" s="2" t="s">
        <v>341</v>
      </c>
      <c r="BB4" s="2"/>
      <c r="BC4" s="2"/>
      <c r="BD4" s="2"/>
    </row>
    <row r="5" spans="1:56" x14ac:dyDescent="0.2">
      <c r="A5" s="32">
        <v>1</v>
      </c>
      <c r="B5" s="32" t="s">
        <v>116</v>
      </c>
      <c r="C5" s="32"/>
      <c r="D5" s="33">
        <v>1</v>
      </c>
      <c r="E5" s="34">
        <v>1</v>
      </c>
      <c r="F5" s="33" t="s">
        <v>100</v>
      </c>
      <c r="G5" s="33" t="s">
        <v>117</v>
      </c>
      <c r="I5">
        <v>2</v>
      </c>
      <c r="J5" s="1">
        <v>2</v>
      </c>
      <c r="K5" s="1">
        <v>1</v>
      </c>
      <c r="L5" s="1">
        <v>449</v>
      </c>
      <c r="M5" s="1">
        <v>27</v>
      </c>
      <c r="N5" s="1">
        <v>495</v>
      </c>
      <c r="O5" s="51">
        <f t="shared" si="0"/>
        <v>443</v>
      </c>
      <c r="P5" s="1">
        <v>0</v>
      </c>
      <c r="Q5" s="49">
        <f t="shared" si="1"/>
        <v>-20</v>
      </c>
      <c r="R5" s="1">
        <v>147.13</v>
      </c>
      <c r="S5" s="1">
        <v>325.89</v>
      </c>
      <c r="T5" s="48">
        <v>0.12670138888888891</v>
      </c>
      <c r="U5" t="s">
        <v>162</v>
      </c>
      <c r="W5" s="29">
        <v>-17.600000000000001</v>
      </c>
      <c r="X5" s="29">
        <v>20</v>
      </c>
      <c r="Y5" s="29">
        <v>0</v>
      </c>
      <c r="AA5" s="88">
        <f t="shared" si="2"/>
        <v>67.98</v>
      </c>
      <c r="AB5" s="40">
        <f t="shared" si="3"/>
        <v>60.838666666666668</v>
      </c>
      <c r="AC5" s="88">
        <f t="shared" si="4"/>
        <v>0</v>
      </c>
      <c r="AD5" s="9">
        <f t="shared" si="5"/>
        <v>-4.67</v>
      </c>
      <c r="AE5" s="9">
        <v>8</v>
      </c>
      <c r="AF5" s="9">
        <v>0.279020875</v>
      </c>
      <c r="AG5" s="88">
        <f t="shared" si="6"/>
        <v>6.6965009999999991E-2</v>
      </c>
      <c r="AH5" s="54">
        <f t="shared" si="7"/>
        <v>0.22321669999999999</v>
      </c>
      <c r="AI5" s="90">
        <f t="shared" si="8"/>
        <v>1015.1570200616712</v>
      </c>
      <c r="AJ5" s="73">
        <f t="shared" si="9"/>
        <v>272.55427871958807</v>
      </c>
      <c r="AK5" s="90">
        <f t="shared" si="10"/>
        <v>0</v>
      </c>
      <c r="AL5" s="72">
        <f t="shared" si="11"/>
        <v>-20.921373714421904</v>
      </c>
      <c r="AM5" s="88">
        <f t="shared" si="12"/>
        <v>11.049929466220433</v>
      </c>
      <c r="AN5" s="91">
        <f t="shared" si="13"/>
        <v>0</v>
      </c>
      <c r="AO5" s="56">
        <f>(AR5+AR7+AR9+AR11)/4</f>
        <v>1.7689401665490396</v>
      </c>
      <c r="AP5" s="56">
        <f>(AS5+AS7+AS9+AS11)/4</f>
        <v>5.6468859778780072</v>
      </c>
      <c r="AR5" s="56">
        <v>0</v>
      </c>
      <c r="AS5" s="56">
        <v>11.049929466220433</v>
      </c>
      <c r="AU5" s="2">
        <v>1</v>
      </c>
      <c r="AV5" s="2" t="s">
        <v>337</v>
      </c>
      <c r="AW5" s="2" t="s">
        <v>335</v>
      </c>
      <c r="AX5" s="2" t="s">
        <v>334</v>
      </c>
      <c r="AY5" s="2"/>
      <c r="AZ5" s="2"/>
      <c r="BA5" s="2"/>
      <c r="BB5" s="64"/>
      <c r="BC5" s="64"/>
      <c r="BD5" s="2"/>
    </row>
    <row r="6" spans="1:56" ht="15" x14ac:dyDescent="0.25">
      <c r="A6" s="37">
        <v>8</v>
      </c>
      <c r="B6" s="32" t="s">
        <v>127</v>
      </c>
      <c r="C6" s="32"/>
      <c r="D6" s="33">
        <v>2</v>
      </c>
      <c r="E6" s="34">
        <v>1</v>
      </c>
      <c r="F6" s="33" t="s">
        <v>91</v>
      </c>
      <c r="G6" s="33" t="s">
        <v>115</v>
      </c>
      <c r="H6">
        <v>8</v>
      </c>
      <c r="I6">
        <v>1</v>
      </c>
      <c r="J6" s="1">
        <v>17</v>
      </c>
      <c r="K6" s="1">
        <v>1</v>
      </c>
      <c r="L6" s="1">
        <v>56</v>
      </c>
      <c r="M6" s="1">
        <v>11</v>
      </c>
      <c r="N6" s="1">
        <v>47</v>
      </c>
      <c r="O6" s="51">
        <f t="shared" si="0"/>
        <v>-12.759999999999998</v>
      </c>
      <c r="P6" s="1">
        <v>97</v>
      </c>
      <c r="Q6" s="49">
        <f t="shared" si="1"/>
        <v>77</v>
      </c>
      <c r="R6" s="1">
        <v>578.70000000000005</v>
      </c>
      <c r="S6" s="1">
        <v>327.06</v>
      </c>
      <c r="T6" s="48">
        <v>0.15069444444444444</v>
      </c>
      <c r="U6" t="s">
        <v>162</v>
      </c>
      <c r="W6" s="29">
        <v>-12.759999999999998</v>
      </c>
      <c r="X6" s="29">
        <v>97</v>
      </c>
      <c r="Y6" s="29">
        <v>77</v>
      </c>
      <c r="AA6" s="88">
        <f t="shared" si="2"/>
        <v>6.4546666666666672</v>
      </c>
      <c r="AB6" s="40">
        <f t="shared" si="3"/>
        <v>-1.7523733333333331</v>
      </c>
      <c r="AC6" s="88">
        <f t="shared" si="4"/>
        <v>22.6495</v>
      </c>
      <c r="AD6" s="9">
        <f t="shared" si="5"/>
        <v>17.979499999999998</v>
      </c>
      <c r="AE6" s="9">
        <v>7.976</v>
      </c>
      <c r="AF6" s="9">
        <v>0.49284942326980935</v>
      </c>
      <c r="AG6" s="88">
        <f t="shared" si="6"/>
        <v>0.11792900999999999</v>
      </c>
      <c r="AH6" s="54">
        <f t="shared" si="7"/>
        <v>0.39309669999999997</v>
      </c>
      <c r="AI6" s="90">
        <f t="shared" si="8"/>
        <v>54.733493197871056</v>
      </c>
      <c r="AJ6" s="73">
        <f t="shared" si="9"/>
        <v>-4.4578683396053265</v>
      </c>
      <c r="AK6" s="90">
        <f t="shared" si="10"/>
        <v>192.06046078060015</v>
      </c>
      <c r="AL6" s="72">
        <f t="shared" si="11"/>
        <v>45.738109732287242</v>
      </c>
      <c r="AM6" s="88">
        <f t="shared" si="12"/>
        <v>0.59577112439176072</v>
      </c>
      <c r="AN6" s="91">
        <f t="shared" si="13"/>
        <v>11.438979200750456</v>
      </c>
      <c r="AO6" t="s">
        <v>332</v>
      </c>
      <c r="AR6" s="56">
        <v>0.59577112439176072</v>
      </c>
      <c r="AS6" s="56">
        <v>11.438979200750456</v>
      </c>
      <c r="AU6" s="2"/>
      <c r="AV6" s="2"/>
      <c r="AW6" s="115">
        <v>1.6977124243017927</v>
      </c>
      <c r="AX6" s="115">
        <v>3.2320811560251612</v>
      </c>
      <c r="AY6" s="115">
        <f>AVERAGE(AW6:AW7)</f>
        <v>1.7333262954254161</v>
      </c>
      <c r="AZ6" s="115"/>
      <c r="BA6" s="115">
        <f>AVERAGE(AX6:AX7)</f>
        <v>4.4394835669515844</v>
      </c>
      <c r="BB6" s="123">
        <f>AY6/BA6*100</f>
        <v>39.043421814389589</v>
      </c>
      <c r="BC6" s="124"/>
      <c r="BD6" s="2"/>
    </row>
    <row r="7" spans="1:56" ht="15" x14ac:dyDescent="0.25">
      <c r="A7" s="32">
        <v>8</v>
      </c>
      <c r="B7" s="32" t="s">
        <v>128</v>
      </c>
      <c r="C7" s="32"/>
      <c r="D7" s="33">
        <v>2</v>
      </c>
      <c r="E7" s="34">
        <v>1</v>
      </c>
      <c r="F7" s="33" t="s">
        <v>100</v>
      </c>
      <c r="G7" s="33" t="s">
        <v>117</v>
      </c>
      <c r="I7">
        <v>2</v>
      </c>
      <c r="J7" s="1">
        <v>18</v>
      </c>
      <c r="K7" s="1">
        <v>1</v>
      </c>
      <c r="L7" s="1">
        <v>274</v>
      </c>
      <c r="M7" s="1">
        <v>13</v>
      </c>
      <c r="N7" s="1">
        <v>305</v>
      </c>
      <c r="O7" s="51">
        <f t="shared" si="0"/>
        <v>253</v>
      </c>
      <c r="P7" s="1">
        <v>0</v>
      </c>
      <c r="Q7" s="49">
        <f t="shared" si="1"/>
        <v>-20</v>
      </c>
      <c r="R7" s="1">
        <v>329.04</v>
      </c>
      <c r="S7" s="1">
        <v>300.05</v>
      </c>
      <c r="T7" s="48">
        <v>0.15230324074074075</v>
      </c>
      <c r="U7" t="s">
        <v>162</v>
      </c>
      <c r="W7" s="29">
        <v>253</v>
      </c>
      <c r="X7" s="29">
        <v>0</v>
      </c>
      <c r="Y7" s="29">
        <v>-20</v>
      </c>
      <c r="AA7" s="88">
        <f t="shared" si="2"/>
        <v>41.88666666666667</v>
      </c>
      <c r="AB7" s="40">
        <f t="shared" si="3"/>
        <v>34.745333333333335</v>
      </c>
      <c r="AC7" s="88">
        <f t="shared" si="4"/>
        <v>0</v>
      </c>
      <c r="AD7" s="9">
        <f t="shared" si="5"/>
        <v>-4.67</v>
      </c>
      <c r="AE7" s="9">
        <v>8.0440000000000005</v>
      </c>
      <c r="AF7" s="9">
        <v>0.3597049975136748</v>
      </c>
      <c r="AG7" s="88">
        <f t="shared" si="6"/>
        <v>8.6804010000000001E-2</v>
      </c>
      <c r="AH7" s="54">
        <f t="shared" si="7"/>
        <v>0.28934670000000001</v>
      </c>
      <c r="AI7" s="90">
        <f t="shared" si="8"/>
        <v>482.54299158145653</v>
      </c>
      <c r="AJ7" s="73">
        <f t="shared" si="9"/>
        <v>120.08201003617229</v>
      </c>
      <c r="AK7" s="90">
        <f t="shared" si="10"/>
        <v>0</v>
      </c>
      <c r="AL7" s="72">
        <f t="shared" si="11"/>
        <v>-16.139807366042191</v>
      </c>
      <c r="AM7" s="88">
        <f t="shared" si="12"/>
        <v>5.2524544637145594</v>
      </c>
      <c r="AN7" s="91">
        <f t="shared" si="13"/>
        <v>0</v>
      </c>
      <c r="AO7" t="s">
        <v>146</v>
      </c>
      <c r="AR7" s="56">
        <v>5.2524544637145594</v>
      </c>
      <c r="AS7" s="56">
        <v>0</v>
      </c>
      <c r="AU7" s="2"/>
      <c r="AV7" s="2"/>
      <c r="AW7" s="115">
        <v>1.7689401665490396</v>
      </c>
      <c r="AX7" s="115">
        <v>5.6468859778780072</v>
      </c>
      <c r="AY7" s="17"/>
      <c r="AZ7" s="17"/>
      <c r="BA7" s="17"/>
      <c r="BB7" s="124"/>
      <c r="BC7" s="124"/>
      <c r="BD7" s="2"/>
    </row>
    <row r="8" spans="1:56" x14ac:dyDescent="0.2">
      <c r="A8" s="32">
        <v>15</v>
      </c>
      <c r="B8" s="32" t="s">
        <v>163</v>
      </c>
      <c r="C8" s="32"/>
      <c r="D8" s="33">
        <v>3</v>
      </c>
      <c r="E8" s="34">
        <v>1</v>
      </c>
      <c r="F8" s="33" t="s">
        <v>91</v>
      </c>
      <c r="G8" s="33" t="s">
        <v>115</v>
      </c>
      <c r="H8">
        <v>15</v>
      </c>
      <c r="I8">
        <v>1</v>
      </c>
      <c r="J8" s="1">
        <v>33</v>
      </c>
      <c r="K8" s="1">
        <v>1</v>
      </c>
      <c r="L8" s="1">
        <v>71</v>
      </c>
      <c r="M8" s="1">
        <v>4</v>
      </c>
      <c r="N8" s="1">
        <v>80</v>
      </c>
      <c r="O8" s="51">
        <f t="shared" si="0"/>
        <v>28</v>
      </c>
      <c r="P8" s="1">
        <v>0</v>
      </c>
      <c r="Q8" s="49">
        <f t="shared" si="1"/>
        <v>-20</v>
      </c>
      <c r="R8" s="1">
        <v>800.27</v>
      </c>
      <c r="S8" s="1">
        <v>337.83</v>
      </c>
      <c r="T8" s="48">
        <v>0.17643518518518519</v>
      </c>
      <c r="U8" t="s">
        <v>162</v>
      </c>
      <c r="W8" s="29">
        <v>221.2</v>
      </c>
      <c r="X8" s="29">
        <v>10</v>
      </c>
      <c r="Y8" s="29">
        <v>-10</v>
      </c>
      <c r="AA8" s="88">
        <f t="shared" si="2"/>
        <v>10.986666666666668</v>
      </c>
      <c r="AB8" s="40">
        <f t="shared" si="3"/>
        <v>3.8453333333333335</v>
      </c>
      <c r="AC8" s="88">
        <f t="shared" si="4"/>
        <v>0</v>
      </c>
      <c r="AD8" s="9">
        <f t="shared" si="5"/>
        <v>-4.67</v>
      </c>
      <c r="AE8" s="9">
        <v>7.968</v>
      </c>
      <c r="AF8" s="9">
        <v>0.48580158132530121</v>
      </c>
      <c r="AG8" s="88">
        <f t="shared" si="6"/>
        <v>0.11612601</v>
      </c>
      <c r="AH8" s="54">
        <f t="shared" si="7"/>
        <v>0.38708670000000001</v>
      </c>
      <c r="AI8" s="90">
        <f t="shared" si="8"/>
        <v>94.609869629264523</v>
      </c>
      <c r="AJ8" s="73">
        <f t="shared" si="9"/>
        <v>9.9340363110727736</v>
      </c>
      <c r="AK8" s="90">
        <f t="shared" si="10"/>
        <v>0</v>
      </c>
      <c r="AL8" s="72">
        <f t="shared" si="11"/>
        <v>-12.064480644775447</v>
      </c>
      <c r="AM8" s="88">
        <f t="shared" si="12"/>
        <v>1.0298233332890445</v>
      </c>
      <c r="AN8" s="91">
        <f t="shared" si="13"/>
        <v>0</v>
      </c>
      <c r="AR8" s="56">
        <v>1.0298233332890445</v>
      </c>
      <c r="AS8" s="56">
        <v>0</v>
      </c>
      <c r="AU8" s="2"/>
      <c r="AV8" s="2"/>
      <c r="AW8" s="2" t="s">
        <v>336</v>
      </c>
      <c r="AX8" s="2" t="s">
        <v>334</v>
      </c>
      <c r="AY8" s="17"/>
      <c r="AZ8" s="17"/>
      <c r="BA8" s="17"/>
      <c r="BB8" s="124"/>
      <c r="BC8" s="124"/>
      <c r="BD8" s="2"/>
    </row>
    <row r="9" spans="1:56" x14ac:dyDescent="0.2">
      <c r="A9" s="32">
        <v>15</v>
      </c>
      <c r="B9" s="32" t="s">
        <v>116</v>
      </c>
      <c r="C9" s="32"/>
      <c r="D9" s="33">
        <v>3</v>
      </c>
      <c r="E9" s="34">
        <v>1</v>
      </c>
      <c r="F9" s="33" t="s">
        <v>100</v>
      </c>
      <c r="G9" s="33" t="s">
        <v>117</v>
      </c>
      <c r="I9">
        <v>2</v>
      </c>
      <c r="J9" s="1">
        <v>34</v>
      </c>
      <c r="K9" s="1">
        <v>1</v>
      </c>
      <c r="L9" s="1">
        <v>253</v>
      </c>
      <c r="M9" s="1">
        <v>19</v>
      </c>
      <c r="N9" s="1">
        <v>274</v>
      </c>
      <c r="O9" s="51">
        <f t="shared" si="0"/>
        <v>221.2</v>
      </c>
      <c r="P9" s="1">
        <v>10</v>
      </c>
      <c r="Q9" s="49">
        <f t="shared" si="1"/>
        <v>-10</v>
      </c>
      <c r="R9" s="1">
        <v>274.87</v>
      </c>
      <c r="S9" s="1">
        <v>332.9</v>
      </c>
      <c r="T9" s="48">
        <v>0.17804398148148148</v>
      </c>
      <c r="U9" t="s">
        <v>162</v>
      </c>
      <c r="W9" s="29">
        <v>28</v>
      </c>
      <c r="X9" s="29">
        <v>0</v>
      </c>
      <c r="Y9" s="29">
        <v>-20</v>
      </c>
      <c r="AA9" s="88">
        <f t="shared" si="2"/>
        <v>37.629333333333335</v>
      </c>
      <c r="AB9" s="40">
        <f t="shared" si="3"/>
        <v>30.378133333333331</v>
      </c>
      <c r="AC9" s="88">
        <f t="shared" si="4"/>
        <v>2.335</v>
      </c>
      <c r="AD9" s="9">
        <f t="shared" si="5"/>
        <v>-2.335</v>
      </c>
      <c r="AE9" s="9">
        <v>7.98</v>
      </c>
      <c r="AF9" s="9">
        <v>0.31860488721804509</v>
      </c>
      <c r="AG9" s="88">
        <f t="shared" si="6"/>
        <v>7.6274010000000003E-2</v>
      </c>
      <c r="AH9" s="54">
        <f t="shared" si="7"/>
        <v>0.25424669999999999</v>
      </c>
      <c r="AI9" s="90">
        <f t="shared" si="8"/>
        <v>493.34410677153767</v>
      </c>
      <c r="AJ9" s="73">
        <f t="shared" si="9"/>
        <v>119.48290118744248</v>
      </c>
      <c r="AK9" s="90">
        <f t="shared" si="10"/>
        <v>30.613311139666052</v>
      </c>
      <c r="AL9" s="72">
        <f t="shared" si="11"/>
        <v>-9.1839933418998161</v>
      </c>
      <c r="AM9" s="88">
        <f t="shared" si="12"/>
        <v>5.3700240205892857</v>
      </c>
      <c r="AN9" s="91">
        <f t="shared" si="13"/>
        <v>1.8233062024815994</v>
      </c>
      <c r="AR9" s="56">
        <v>1.8233062024815994</v>
      </c>
      <c r="AS9" s="56">
        <v>5.3700240205892857</v>
      </c>
      <c r="AU9" s="2">
        <v>2</v>
      </c>
      <c r="AV9" s="2" t="s">
        <v>337</v>
      </c>
      <c r="AW9" s="115">
        <v>7.041753076885592</v>
      </c>
      <c r="AX9" s="115">
        <v>2.792068553793293</v>
      </c>
      <c r="AZ9" s="115">
        <f>AVERAGE(AW9:AW10)</f>
        <v>5.3908033699252806</v>
      </c>
      <c r="BA9" s="115">
        <f>AVERAGE(AX9:AX10)</f>
        <v>5.4674603180277614</v>
      </c>
      <c r="BB9" s="8"/>
      <c r="BC9" s="123">
        <f>AZ9/BA9*100</f>
        <v>98.597942305137153</v>
      </c>
      <c r="BD9" s="2"/>
    </row>
    <row r="10" spans="1:56" s="32" customFormat="1" x14ac:dyDescent="0.2">
      <c r="A10" s="32">
        <v>22</v>
      </c>
      <c r="B10" s="32" t="s">
        <v>166</v>
      </c>
      <c r="D10" s="33">
        <v>4</v>
      </c>
      <c r="E10" s="34">
        <v>1</v>
      </c>
      <c r="F10" s="33" t="s">
        <v>91</v>
      </c>
      <c r="G10" s="33" t="s">
        <v>115</v>
      </c>
      <c r="H10" s="32">
        <v>22</v>
      </c>
      <c r="I10" s="32">
        <v>1</v>
      </c>
      <c r="J10" s="67">
        <v>49</v>
      </c>
      <c r="K10" s="67">
        <v>1</v>
      </c>
      <c r="L10" s="67">
        <v>67</v>
      </c>
      <c r="M10" s="67">
        <v>6</v>
      </c>
      <c r="N10" s="67">
        <v>70</v>
      </c>
      <c r="O10" s="92">
        <f t="shared" si="0"/>
        <v>16.560000000000002</v>
      </c>
      <c r="P10" s="67">
        <v>18</v>
      </c>
      <c r="Q10" s="93">
        <f t="shared" si="1"/>
        <v>-2</v>
      </c>
      <c r="R10" s="67">
        <v>569.29</v>
      </c>
      <c r="S10" s="67">
        <v>325.17</v>
      </c>
      <c r="T10" s="94">
        <v>0.20219907407407409</v>
      </c>
      <c r="U10" s="32" t="s">
        <v>162</v>
      </c>
      <c r="W10" s="34">
        <v>338</v>
      </c>
      <c r="X10" s="34">
        <v>0</v>
      </c>
      <c r="Y10" s="34">
        <v>-20</v>
      </c>
      <c r="AA10" s="95">
        <f t="shared" si="2"/>
        <v>9.6133333333333351</v>
      </c>
      <c r="AB10" s="74">
        <f t="shared" si="3"/>
        <v>2.2742400000000003</v>
      </c>
      <c r="AC10" s="95">
        <f t="shared" si="4"/>
        <v>4.2030000000000003</v>
      </c>
      <c r="AD10" s="42">
        <f t="shared" si="5"/>
        <v>-0.46699999999999997</v>
      </c>
      <c r="AE10" s="42">
        <v>7.9720000000000004</v>
      </c>
      <c r="AF10" s="42">
        <v>0.47966219267436028</v>
      </c>
      <c r="AG10" s="95">
        <f t="shared" si="6"/>
        <v>0.11471600999999999</v>
      </c>
      <c r="AH10" s="96">
        <f t="shared" si="7"/>
        <v>0.38238670000000002</v>
      </c>
      <c r="AI10" s="97">
        <f t="shared" si="8"/>
        <v>83.8011480118018</v>
      </c>
      <c r="AJ10" s="98">
        <f t="shared" si="9"/>
        <v>5.9474871903233035</v>
      </c>
      <c r="AK10" s="97">
        <f t="shared" si="10"/>
        <v>36.638303581165353</v>
      </c>
      <c r="AL10" s="39">
        <f t="shared" si="11"/>
        <v>-1.2212767860388447</v>
      </c>
      <c r="AM10" s="95">
        <f t="shared" si="12"/>
        <v>0.91217098086210735</v>
      </c>
      <c r="AN10" s="99">
        <f t="shared" si="13"/>
        <v>2.1821503026304558</v>
      </c>
      <c r="AR10" s="56">
        <v>2.1821503026304558</v>
      </c>
      <c r="AS10" s="56">
        <v>0.91217098086210735</v>
      </c>
      <c r="AU10" s="117"/>
      <c r="AV10" s="117"/>
      <c r="AW10" s="118">
        <v>3.7398536629649692</v>
      </c>
      <c r="AX10" s="118">
        <v>8.1428520822622303</v>
      </c>
      <c r="AY10" s="117"/>
      <c r="AZ10" s="117"/>
      <c r="BA10" s="117"/>
      <c r="BB10" s="125"/>
      <c r="BC10" s="125"/>
      <c r="BD10" s="117"/>
    </row>
    <row r="11" spans="1:56" s="25" customFormat="1" x14ac:dyDescent="0.2">
      <c r="A11" s="25">
        <v>22</v>
      </c>
      <c r="B11" s="25" t="s">
        <v>116</v>
      </c>
      <c r="D11" s="26">
        <v>4</v>
      </c>
      <c r="E11" s="43">
        <v>1</v>
      </c>
      <c r="F11" s="26" t="s">
        <v>100</v>
      </c>
      <c r="G11" s="26" t="s">
        <v>117</v>
      </c>
      <c r="I11" s="25">
        <v>2</v>
      </c>
      <c r="J11" s="44">
        <v>50</v>
      </c>
      <c r="K11" s="44">
        <v>1</v>
      </c>
      <c r="L11" s="44">
        <v>352</v>
      </c>
      <c r="M11" s="44">
        <v>20</v>
      </c>
      <c r="N11" s="44">
        <v>390</v>
      </c>
      <c r="O11" s="100">
        <f t="shared" si="0"/>
        <v>338</v>
      </c>
      <c r="P11" s="44">
        <v>0</v>
      </c>
      <c r="Q11" s="101">
        <f t="shared" si="1"/>
        <v>-20</v>
      </c>
      <c r="R11" s="44">
        <v>254.71</v>
      </c>
      <c r="S11" s="44">
        <v>320.61</v>
      </c>
      <c r="T11" s="102">
        <v>0.20380787037037038</v>
      </c>
      <c r="U11" s="25" t="s">
        <v>162</v>
      </c>
      <c r="W11" s="43">
        <v>16.560000000000002</v>
      </c>
      <c r="X11" s="43">
        <v>18</v>
      </c>
      <c r="Y11" s="43">
        <v>-2</v>
      </c>
      <c r="AA11" s="103">
        <f t="shared" si="2"/>
        <v>53.559999999999995</v>
      </c>
      <c r="AB11" s="104">
        <f t="shared" si="3"/>
        <v>46.418666666666667</v>
      </c>
      <c r="AC11" s="103">
        <f t="shared" si="4"/>
        <v>0</v>
      </c>
      <c r="AD11" s="46">
        <f t="shared" si="5"/>
        <v>-4.67</v>
      </c>
      <c r="AE11" s="46">
        <v>8</v>
      </c>
      <c r="AF11" s="46">
        <v>0.39385837499999993</v>
      </c>
      <c r="AG11" s="103">
        <f t="shared" si="6"/>
        <v>9.452600999999998E-2</v>
      </c>
      <c r="AH11" s="105">
        <f t="shared" si="7"/>
        <v>0.31508669999999994</v>
      </c>
      <c r="AI11" s="106">
        <f t="shared" si="8"/>
        <v>566.61653231740138</v>
      </c>
      <c r="AJ11" s="107">
        <f t="shared" si="9"/>
        <v>147.32029840252437</v>
      </c>
      <c r="AK11" s="106">
        <f t="shared" si="10"/>
        <v>0</v>
      </c>
      <c r="AL11" s="108">
        <f t="shared" si="11"/>
        <v>-14.821317434217315</v>
      </c>
      <c r="AM11" s="103">
        <f t="shared" si="12"/>
        <v>6.1675904247023112</v>
      </c>
      <c r="AN11" s="109">
        <f t="shared" si="13"/>
        <v>0</v>
      </c>
      <c r="AR11" s="112">
        <v>0</v>
      </c>
      <c r="AS11" s="112">
        <v>6.1675904247023112</v>
      </c>
      <c r="AU11" s="119"/>
      <c r="AV11" s="119"/>
      <c r="AW11" s="119"/>
      <c r="AX11" s="119"/>
      <c r="AY11" s="119"/>
      <c r="AZ11" s="119"/>
      <c r="BA11" s="119"/>
      <c r="BB11" s="126"/>
      <c r="BC11" s="126"/>
      <c r="BD11" s="119"/>
    </row>
    <row r="12" spans="1:56" x14ac:dyDescent="0.2">
      <c r="A12" s="32">
        <v>2</v>
      </c>
      <c r="B12" s="32" t="s">
        <v>164</v>
      </c>
      <c r="C12" s="32"/>
      <c r="D12" s="33">
        <v>1</v>
      </c>
      <c r="E12" s="34">
        <v>2</v>
      </c>
      <c r="F12" s="33" t="s">
        <v>91</v>
      </c>
      <c r="G12" s="33" t="s">
        <v>117</v>
      </c>
      <c r="H12">
        <v>2</v>
      </c>
      <c r="I12">
        <v>1</v>
      </c>
      <c r="J12" s="1">
        <v>3</v>
      </c>
      <c r="K12" s="1">
        <v>1</v>
      </c>
      <c r="L12" s="1">
        <v>75</v>
      </c>
      <c r="M12" s="1">
        <v>8</v>
      </c>
      <c r="N12" s="1">
        <v>76</v>
      </c>
      <c r="O12" s="51">
        <f t="shared" si="0"/>
        <v>20.959999999999994</v>
      </c>
      <c r="P12" s="1">
        <v>38</v>
      </c>
      <c r="Q12" s="49">
        <f t="shared" si="1"/>
        <v>18</v>
      </c>
      <c r="R12" s="1">
        <v>671.25</v>
      </c>
      <c r="S12" s="1">
        <v>327.04000000000002</v>
      </c>
      <c r="T12" s="48">
        <v>0.1282986111111111</v>
      </c>
      <c r="U12" t="s">
        <v>162</v>
      </c>
      <c r="W12" s="29">
        <v>479</v>
      </c>
      <c r="X12" s="29">
        <v>0</v>
      </c>
      <c r="Y12" s="29">
        <v>-20</v>
      </c>
      <c r="AA12" s="88">
        <f t="shared" si="2"/>
        <v>10.437333333333333</v>
      </c>
      <c r="AB12" s="40">
        <f t="shared" si="3"/>
        <v>2.8785066666666661</v>
      </c>
      <c r="AC12" s="88">
        <f t="shared" si="4"/>
        <v>8.8729999999999993</v>
      </c>
      <c r="AD12" s="9">
        <f t="shared" si="5"/>
        <v>4.2030000000000003</v>
      </c>
      <c r="AE12" s="9">
        <v>8.0359999999999996</v>
      </c>
      <c r="AF12" s="9">
        <v>0.46825124440019916</v>
      </c>
      <c r="AG12" s="88">
        <f t="shared" si="6"/>
        <v>0.11288600999999999</v>
      </c>
      <c r="AH12" s="54">
        <f t="shared" si="7"/>
        <v>0.37628670000000003</v>
      </c>
      <c r="AI12" s="90">
        <f t="shared" si="8"/>
        <v>92.45905080118726</v>
      </c>
      <c r="AJ12" s="73">
        <f t="shared" si="9"/>
        <v>7.6497698873403337</v>
      </c>
      <c r="AK12" s="90">
        <f t="shared" si="10"/>
        <v>78.601413939601542</v>
      </c>
      <c r="AL12" s="72">
        <f t="shared" si="11"/>
        <v>11.169674612469693</v>
      </c>
      <c r="AM12" s="88">
        <f t="shared" si="12"/>
        <v>1.0064117862325814</v>
      </c>
      <c r="AN12" s="91">
        <f t="shared" si="13"/>
        <v>4.6814421643598294</v>
      </c>
      <c r="AO12" s="56">
        <f>(AR12+AR14+AR16+AR18)/4</f>
        <v>7.041753076885592</v>
      </c>
      <c r="AP12" s="56">
        <f>(AS12+AS14+AS16+AS18)/4</f>
        <v>2.792068553793293</v>
      </c>
      <c r="AR12" s="56">
        <v>4.6814421643598294</v>
      </c>
      <c r="AS12" s="56">
        <v>1.0064117862325814</v>
      </c>
      <c r="AU12" s="2"/>
      <c r="AV12" s="119"/>
      <c r="AW12" s="114" t="s">
        <v>339</v>
      </c>
      <c r="AX12" s="114"/>
      <c r="AY12" s="2"/>
      <c r="AZ12" s="2"/>
      <c r="BA12" s="2"/>
      <c r="BB12" s="17"/>
      <c r="BC12" s="17"/>
      <c r="BD12" s="2"/>
    </row>
    <row r="13" spans="1:56" x14ac:dyDescent="0.2">
      <c r="A13" s="32">
        <v>2</v>
      </c>
      <c r="B13" s="32" t="s">
        <v>116</v>
      </c>
      <c r="C13" s="32"/>
      <c r="D13" s="33">
        <v>1</v>
      </c>
      <c r="E13" s="34">
        <v>2</v>
      </c>
      <c r="F13" s="33" t="s">
        <v>100</v>
      </c>
      <c r="G13" s="33" t="s">
        <v>117</v>
      </c>
      <c r="I13">
        <v>2</v>
      </c>
      <c r="J13" s="1">
        <v>4</v>
      </c>
      <c r="K13" s="1">
        <v>1</v>
      </c>
      <c r="L13" s="1">
        <v>478</v>
      </c>
      <c r="M13" s="1">
        <v>28</v>
      </c>
      <c r="N13" s="1">
        <v>531</v>
      </c>
      <c r="O13" s="51">
        <f t="shared" si="0"/>
        <v>479</v>
      </c>
      <c r="P13" s="1">
        <v>0</v>
      </c>
      <c r="Q13" s="49">
        <f t="shared" si="1"/>
        <v>-20</v>
      </c>
      <c r="R13" s="1">
        <v>228.86</v>
      </c>
      <c r="S13" s="1">
        <v>326.68</v>
      </c>
      <c r="T13" s="48">
        <v>0.12987268518518519</v>
      </c>
      <c r="U13" t="s">
        <v>162</v>
      </c>
      <c r="W13" s="29">
        <v>20.959999999999994</v>
      </c>
      <c r="X13" s="29">
        <v>38</v>
      </c>
      <c r="Y13" s="29">
        <v>18</v>
      </c>
      <c r="AA13" s="88">
        <f t="shared" si="2"/>
        <v>72.924000000000007</v>
      </c>
      <c r="AB13" s="40">
        <f t="shared" si="3"/>
        <v>65.782666666666671</v>
      </c>
      <c r="AC13" s="88">
        <f t="shared" si="4"/>
        <v>0</v>
      </c>
      <c r="AD13" s="9">
        <f t="shared" si="5"/>
        <v>-4.67</v>
      </c>
      <c r="AE13" s="9">
        <v>8.0359999999999996</v>
      </c>
      <c r="AF13" s="9">
        <v>0.31100883524141371</v>
      </c>
      <c r="AG13" s="88">
        <f t="shared" si="6"/>
        <v>7.4978010000000012E-2</v>
      </c>
      <c r="AH13" s="54">
        <f t="shared" si="7"/>
        <v>0.24992670000000006</v>
      </c>
      <c r="AI13" s="90">
        <f t="shared" si="8"/>
        <v>972.60516783520927</v>
      </c>
      <c r="AJ13" s="73">
        <f t="shared" si="9"/>
        <v>263.20783920512156</v>
      </c>
      <c r="AK13" s="90">
        <f t="shared" si="10"/>
        <v>0</v>
      </c>
      <c r="AL13" s="72">
        <f t="shared" si="11"/>
        <v>-18.685478582320332</v>
      </c>
      <c r="AM13" s="88">
        <f t="shared" si="12"/>
        <v>10.586754847449759</v>
      </c>
      <c r="AN13" s="91">
        <f t="shared" si="13"/>
        <v>0</v>
      </c>
      <c r="AO13" s="56">
        <f>(AR13+AR15+AR17+AR19)/4</f>
        <v>3.7398536629649692</v>
      </c>
      <c r="AP13" s="56">
        <f>(AS13+AS15+AS17+AS19)/4</f>
        <v>8.1428520822622303</v>
      </c>
      <c r="AR13" s="56">
        <v>0</v>
      </c>
      <c r="AS13" s="56">
        <v>10.586754847449759</v>
      </c>
      <c r="AU13" s="2">
        <v>6</v>
      </c>
      <c r="AV13" s="2" t="s">
        <v>337</v>
      </c>
      <c r="AW13" s="2" t="s">
        <v>335</v>
      </c>
      <c r="AX13" s="2"/>
      <c r="AY13" s="2"/>
      <c r="AZ13" s="2"/>
      <c r="BA13" s="2"/>
      <c r="BB13" s="17"/>
      <c r="BC13" s="17"/>
      <c r="BD13" s="2"/>
    </row>
    <row r="14" spans="1:56" ht="15" x14ac:dyDescent="0.25">
      <c r="A14" s="32">
        <v>9</v>
      </c>
      <c r="B14" s="32" t="s">
        <v>129</v>
      </c>
      <c r="C14" s="32"/>
      <c r="D14" s="33">
        <v>2</v>
      </c>
      <c r="E14" s="34">
        <v>2</v>
      </c>
      <c r="F14" s="33" t="s">
        <v>91</v>
      </c>
      <c r="G14" s="33" t="s">
        <v>117</v>
      </c>
      <c r="H14">
        <v>9</v>
      </c>
      <c r="I14">
        <v>1</v>
      </c>
      <c r="J14" s="1">
        <v>19</v>
      </c>
      <c r="K14" s="1">
        <v>1</v>
      </c>
      <c r="L14" s="1">
        <v>739</v>
      </c>
      <c r="M14" s="1">
        <v>42</v>
      </c>
      <c r="N14" s="1">
        <v>807</v>
      </c>
      <c r="O14" s="51">
        <f t="shared" si="0"/>
        <v>754.76</v>
      </c>
      <c r="P14" s="1">
        <v>3</v>
      </c>
      <c r="Q14" s="49">
        <v>-17</v>
      </c>
      <c r="R14" s="1">
        <v>142.63999999999999</v>
      </c>
      <c r="S14" s="1">
        <v>294.8</v>
      </c>
      <c r="T14" s="48">
        <v>0.15390046296296298</v>
      </c>
      <c r="U14" t="s">
        <v>162</v>
      </c>
      <c r="W14" s="29">
        <v>317.76</v>
      </c>
      <c r="X14" s="29">
        <v>3</v>
      </c>
      <c r="Y14" s="29">
        <v>-17</v>
      </c>
      <c r="AA14" s="88">
        <f t="shared" si="2"/>
        <v>110.828</v>
      </c>
      <c r="AB14" s="40">
        <f t="shared" si="3"/>
        <v>103.65370666666666</v>
      </c>
      <c r="AC14" s="88">
        <f t="shared" si="4"/>
        <v>0.70050000000000001</v>
      </c>
      <c r="AD14" s="9">
        <f t="shared" si="5"/>
        <v>-3.9694999999999996</v>
      </c>
      <c r="AE14" s="9">
        <v>7.9639999999999995</v>
      </c>
      <c r="AF14" s="9">
        <v>0.57426757910597692</v>
      </c>
      <c r="AG14" s="88">
        <f t="shared" si="6"/>
        <v>0.13720401000000002</v>
      </c>
      <c r="AH14" s="54">
        <f t="shared" si="7"/>
        <v>0.45734669999999999</v>
      </c>
      <c r="AI14" s="90">
        <f t="shared" si="8"/>
        <v>807.76064781196987</v>
      </c>
      <c r="AJ14" s="73">
        <f t="shared" si="9"/>
        <v>226.64142250652878</v>
      </c>
      <c r="AK14" s="90">
        <f t="shared" si="10"/>
        <v>5.1055359096282968</v>
      </c>
      <c r="AL14" s="72">
        <f t="shared" si="11"/>
        <v>-8.679411046368104</v>
      </c>
      <c r="AM14" s="88">
        <f t="shared" si="12"/>
        <v>8.7924311288992048</v>
      </c>
      <c r="AN14" s="91">
        <f t="shared" si="13"/>
        <v>0.30408194816130418</v>
      </c>
      <c r="AO14" t="s">
        <v>332</v>
      </c>
      <c r="AR14" s="56">
        <v>0.30408194816130418</v>
      </c>
      <c r="AS14" s="56">
        <v>8.7924311288992048</v>
      </c>
      <c r="AU14" s="2"/>
      <c r="AV14" s="2"/>
      <c r="AW14" s="115">
        <v>2.34</v>
      </c>
      <c r="AX14" s="2"/>
      <c r="AY14" s="115"/>
      <c r="AZ14" s="115"/>
      <c r="BA14" s="115"/>
      <c r="BB14" s="17"/>
      <c r="BC14" s="17"/>
      <c r="BD14" s="2"/>
    </row>
    <row r="15" spans="1:56" ht="15" x14ac:dyDescent="0.25">
      <c r="A15" s="32">
        <v>9</v>
      </c>
      <c r="B15" s="32" t="s">
        <v>130</v>
      </c>
      <c r="C15" s="32"/>
      <c r="D15" s="33">
        <v>2</v>
      </c>
      <c r="E15" s="34">
        <v>2</v>
      </c>
      <c r="F15" s="33" t="s">
        <v>100</v>
      </c>
      <c r="G15" s="33" t="s">
        <v>117</v>
      </c>
      <c r="I15">
        <v>2</v>
      </c>
      <c r="J15" s="1">
        <v>20</v>
      </c>
      <c r="K15" s="1">
        <v>1</v>
      </c>
      <c r="L15" s="1">
        <v>341</v>
      </c>
      <c r="M15" s="1">
        <v>25</v>
      </c>
      <c r="N15" s="1">
        <v>370</v>
      </c>
      <c r="O15" s="51">
        <f t="shared" si="0"/>
        <v>317.76</v>
      </c>
      <c r="P15" s="1">
        <v>3</v>
      </c>
      <c r="Q15" s="49">
        <f t="shared" ref="Q15:Q59" si="14">P15-20</f>
        <v>-17</v>
      </c>
      <c r="R15" s="1">
        <v>248.47</v>
      </c>
      <c r="S15" s="1">
        <v>337.77</v>
      </c>
      <c r="T15" s="48">
        <v>0.15552083333333333</v>
      </c>
      <c r="U15" t="s">
        <v>162</v>
      </c>
      <c r="W15" s="29">
        <v>755</v>
      </c>
      <c r="X15" s="29">
        <v>3</v>
      </c>
      <c r="Y15" s="29">
        <v>-17</v>
      </c>
      <c r="AA15" s="88">
        <f t="shared" si="2"/>
        <v>50.81333333333334</v>
      </c>
      <c r="AB15" s="40">
        <f t="shared" si="3"/>
        <v>43.639040000000001</v>
      </c>
      <c r="AC15" s="88">
        <f t="shared" si="4"/>
        <v>0.70050000000000001</v>
      </c>
      <c r="AD15" s="9">
        <f t="shared" si="5"/>
        <v>-3.9694999999999996</v>
      </c>
      <c r="AE15" s="9">
        <v>7.9960000000000004</v>
      </c>
      <c r="AF15" s="9">
        <v>0.44360517758879442</v>
      </c>
      <c r="AG15" s="88">
        <f t="shared" si="6"/>
        <v>0.10641201</v>
      </c>
      <c r="AH15" s="54">
        <f t="shared" si="7"/>
        <v>0.35470670000000004</v>
      </c>
      <c r="AI15" s="90">
        <f t="shared" si="8"/>
        <v>477.51502234882452</v>
      </c>
      <c r="AJ15" s="73">
        <f t="shared" si="9"/>
        <v>123.02851905532091</v>
      </c>
      <c r="AK15" s="90">
        <f t="shared" si="10"/>
        <v>6.5829035651145018</v>
      </c>
      <c r="AL15" s="72">
        <f t="shared" si="11"/>
        <v>-11.19093606069465</v>
      </c>
      <c r="AM15" s="88">
        <f t="shared" si="12"/>
        <v>5.1977252895267716</v>
      </c>
      <c r="AN15" s="91">
        <f t="shared" si="13"/>
        <v>0.39207287463457424</v>
      </c>
      <c r="AO15" t="s">
        <v>146</v>
      </c>
      <c r="AR15" s="56">
        <v>5.1977252895267716</v>
      </c>
      <c r="AS15" s="56">
        <v>0.39207287463457424</v>
      </c>
      <c r="AU15" s="2"/>
      <c r="AV15" s="2"/>
      <c r="AW15" s="115">
        <v>3.82</v>
      </c>
      <c r="AX15" s="2"/>
      <c r="AY15" s="115">
        <f>AVERAGE(AW14:AW15)</f>
        <v>3.08</v>
      </c>
      <c r="AZ15" s="115"/>
      <c r="BA15" s="2"/>
      <c r="BB15" s="123">
        <f>AY15/BA21*100</f>
        <v>75.837227510410159</v>
      </c>
      <c r="BD15" s="2"/>
    </row>
    <row r="16" spans="1:56" x14ac:dyDescent="0.2">
      <c r="A16" s="32">
        <v>16</v>
      </c>
      <c r="B16" s="32" t="s">
        <v>165</v>
      </c>
      <c r="C16" s="32"/>
      <c r="D16" s="33">
        <v>3</v>
      </c>
      <c r="E16" s="34">
        <v>2</v>
      </c>
      <c r="F16" s="33" t="s">
        <v>91</v>
      </c>
      <c r="G16" s="33" t="s">
        <v>117</v>
      </c>
      <c r="H16">
        <v>16</v>
      </c>
      <c r="I16">
        <v>1</v>
      </c>
      <c r="J16" s="1">
        <v>35</v>
      </c>
      <c r="K16" s="1">
        <v>1</v>
      </c>
      <c r="L16" s="1">
        <v>60</v>
      </c>
      <c r="M16" s="1">
        <v>14</v>
      </c>
      <c r="N16" s="1">
        <v>46</v>
      </c>
      <c r="O16" s="51">
        <f t="shared" si="0"/>
        <v>-16.64</v>
      </c>
      <c r="P16" s="1">
        <v>133</v>
      </c>
      <c r="Q16" s="49">
        <f t="shared" si="14"/>
        <v>113</v>
      </c>
      <c r="R16" s="1">
        <v>714.25</v>
      </c>
      <c r="S16" s="1">
        <v>331.78</v>
      </c>
      <c r="T16" s="48">
        <v>0.17961805555555554</v>
      </c>
      <c r="U16" t="s">
        <v>162</v>
      </c>
      <c r="W16" s="29">
        <v>398.72</v>
      </c>
      <c r="X16" s="29">
        <v>66</v>
      </c>
      <c r="Y16" s="29">
        <v>46</v>
      </c>
      <c r="AA16" s="88">
        <f t="shared" si="2"/>
        <v>6.3173333333333339</v>
      </c>
      <c r="AB16" s="40">
        <f t="shared" si="3"/>
        <v>-2.285226666666667</v>
      </c>
      <c r="AC16" s="88">
        <f t="shared" si="4"/>
        <v>31.055499999999999</v>
      </c>
      <c r="AD16" s="9">
        <f t="shared" si="5"/>
        <v>26.385499999999997</v>
      </c>
      <c r="AE16" s="9">
        <v>7.9920000000000009</v>
      </c>
      <c r="AF16" s="9">
        <v>0.45261098598598598</v>
      </c>
      <c r="AG16" s="88">
        <f t="shared" si="6"/>
        <v>0.10851801000000001</v>
      </c>
      <c r="AH16" s="54">
        <f t="shared" si="7"/>
        <v>0.36172670000000007</v>
      </c>
      <c r="AI16" s="90">
        <f t="shared" si="8"/>
        <v>58.214607265036776</v>
      </c>
      <c r="AJ16" s="73">
        <f t="shared" si="9"/>
        <v>-6.3175504231970336</v>
      </c>
      <c r="AK16" s="90">
        <f t="shared" si="10"/>
        <v>286.17830349082141</v>
      </c>
      <c r="AL16" s="72">
        <f t="shared" si="11"/>
        <v>72.943191641645456</v>
      </c>
      <c r="AM16" s="88">
        <f t="shared" si="12"/>
        <v>0.63366286344875122</v>
      </c>
      <c r="AN16" s="91">
        <f t="shared" si="13"/>
        <v>17.044568403265124</v>
      </c>
      <c r="AR16" s="56">
        <v>17.044568403265124</v>
      </c>
      <c r="AS16" s="56">
        <v>0.63366286344875122</v>
      </c>
      <c r="AU16" s="2">
        <v>7</v>
      </c>
      <c r="AV16" s="2" t="s">
        <v>337</v>
      </c>
      <c r="AW16" s="2" t="s">
        <v>342</v>
      </c>
      <c r="AX16" s="2"/>
      <c r="AY16" s="2"/>
      <c r="AZ16" s="2"/>
      <c r="BA16" s="2"/>
      <c r="BB16" s="17"/>
      <c r="BC16" s="17"/>
      <c r="BD16" s="2"/>
    </row>
    <row r="17" spans="1:56" x14ac:dyDescent="0.2">
      <c r="A17" s="32">
        <v>16</v>
      </c>
      <c r="B17" s="32" t="s">
        <v>116</v>
      </c>
      <c r="C17" s="32"/>
      <c r="D17" s="33">
        <v>3</v>
      </c>
      <c r="E17" s="34">
        <v>2</v>
      </c>
      <c r="F17" s="33" t="s">
        <v>100</v>
      </c>
      <c r="G17" s="33" t="s">
        <v>117</v>
      </c>
      <c r="I17">
        <v>2</v>
      </c>
      <c r="J17" s="1">
        <v>36</v>
      </c>
      <c r="K17" s="1">
        <v>1</v>
      </c>
      <c r="L17" s="1">
        <v>429</v>
      </c>
      <c r="M17" s="1">
        <v>35</v>
      </c>
      <c r="N17" s="1">
        <v>456</v>
      </c>
      <c r="O17" s="51">
        <f t="shared" si="0"/>
        <v>398.72</v>
      </c>
      <c r="P17" s="1">
        <v>66</v>
      </c>
      <c r="Q17" s="49">
        <f t="shared" si="14"/>
        <v>46</v>
      </c>
      <c r="R17" s="1">
        <v>229.45</v>
      </c>
      <c r="S17" s="1">
        <v>329.08</v>
      </c>
      <c r="T17" s="48">
        <v>0.18122685185185183</v>
      </c>
      <c r="U17" t="s">
        <v>162</v>
      </c>
      <c r="W17" s="29">
        <v>-16.64</v>
      </c>
      <c r="X17" s="29">
        <v>133</v>
      </c>
      <c r="Y17" s="29">
        <v>113</v>
      </c>
      <c r="AA17" s="88">
        <f t="shared" si="2"/>
        <v>62.624000000000002</v>
      </c>
      <c r="AB17" s="40">
        <f t="shared" si="3"/>
        <v>54.757546666666677</v>
      </c>
      <c r="AC17" s="88">
        <f t="shared" si="4"/>
        <v>15.411</v>
      </c>
      <c r="AD17" s="9">
        <f t="shared" si="5"/>
        <v>10.741000000000001</v>
      </c>
      <c r="AE17" s="9">
        <v>8.0039999999999996</v>
      </c>
      <c r="AF17" s="9">
        <v>0.29081296851574212</v>
      </c>
      <c r="AG17" s="88">
        <f t="shared" si="6"/>
        <v>6.9830009999999998E-2</v>
      </c>
      <c r="AH17" s="54">
        <f t="shared" si="7"/>
        <v>0.23276669999999999</v>
      </c>
      <c r="AI17" s="90">
        <f t="shared" si="8"/>
        <v>896.80640171754237</v>
      </c>
      <c r="AJ17" s="73">
        <f t="shared" si="9"/>
        <v>235.24647927159117</v>
      </c>
      <c r="AK17" s="90">
        <f t="shared" si="10"/>
        <v>220.69308023871113</v>
      </c>
      <c r="AL17" s="72">
        <f t="shared" si="11"/>
        <v>46.14491677718506</v>
      </c>
      <c r="AM17" s="88">
        <f t="shared" si="12"/>
        <v>9.7616893623331045</v>
      </c>
      <c r="AN17" s="91">
        <f t="shared" si="13"/>
        <v>13.144316869488454</v>
      </c>
      <c r="AR17" s="56">
        <v>9.7616893623331045</v>
      </c>
      <c r="AS17" s="56">
        <v>13.144316869488454</v>
      </c>
      <c r="AU17" s="2"/>
      <c r="AV17" s="2"/>
      <c r="AW17" s="115">
        <v>0.72</v>
      </c>
      <c r="AX17" s="2"/>
      <c r="AZ17" s="115">
        <f>AVERAGE(AW17:AW18)</f>
        <v>3.645</v>
      </c>
      <c r="BA17" s="115"/>
      <c r="BB17" s="17"/>
      <c r="BC17" s="123">
        <f>AZ17/BA21*100</f>
        <v>89.748926712806849</v>
      </c>
      <c r="BD17" s="2"/>
    </row>
    <row r="18" spans="1:56" x14ac:dyDescent="0.2">
      <c r="A18" s="32">
        <v>23</v>
      </c>
      <c r="B18" s="32" t="s">
        <v>165</v>
      </c>
      <c r="C18" s="32"/>
      <c r="D18" s="33">
        <v>4</v>
      </c>
      <c r="E18" s="34">
        <v>2</v>
      </c>
      <c r="F18" s="33" t="s">
        <v>91</v>
      </c>
      <c r="G18" s="33" t="s">
        <v>117</v>
      </c>
      <c r="H18">
        <v>23</v>
      </c>
      <c r="I18">
        <v>1</v>
      </c>
      <c r="J18" s="1">
        <v>51</v>
      </c>
      <c r="K18" s="1">
        <v>1</v>
      </c>
      <c r="L18" s="1">
        <v>60</v>
      </c>
      <c r="M18" s="1">
        <v>8</v>
      </c>
      <c r="N18" s="1">
        <v>58</v>
      </c>
      <c r="O18" s="51">
        <f t="shared" si="0"/>
        <v>1.8400000000000034</v>
      </c>
      <c r="P18" s="1">
        <v>52</v>
      </c>
      <c r="Q18" s="49">
        <f t="shared" si="14"/>
        <v>32</v>
      </c>
      <c r="R18" s="1">
        <v>593.20000000000005</v>
      </c>
      <c r="S18" s="1">
        <v>325.06</v>
      </c>
      <c r="T18" s="48">
        <v>0.20542824074074073</v>
      </c>
      <c r="U18" t="s">
        <v>162</v>
      </c>
      <c r="W18" s="29">
        <v>444</v>
      </c>
      <c r="X18" s="29">
        <v>0</v>
      </c>
      <c r="Y18" s="29">
        <v>-20</v>
      </c>
      <c r="AA18" s="88">
        <f t="shared" si="2"/>
        <v>7.9653333333333336</v>
      </c>
      <c r="AB18" s="40">
        <f t="shared" si="3"/>
        <v>0.25269333333333382</v>
      </c>
      <c r="AC18" s="88">
        <f t="shared" si="4"/>
        <v>12.141999999999999</v>
      </c>
      <c r="AD18" s="9">
        <f t="shared" si="5"/>
        <v>7.4719999999999995</v>
      </c>
      <c r="AE18" s="9">
        <v>7.9720000000000004</v>
      </c>
      <c r="AF18" s="9">
        <v>0.49272039638735576</v>
      </c>
      <c r="AG18" s="88">
        <f t="shared" si="6"/>
        <v>0.11783901000000001</v>
      </c>
      <c r="AH18" s="54">
        <f t="shared" si="7"/>
        <v>0.3927967</v>
      </c>
      <c r="AI18" s="90">
        <f t="shared" si="8"/>
        <v>67.595046269765277</v>
      </c>
      <c r="AJ18" s="73">
        <f t="shared" si="9"/>
        <v>0.64331837139500869</v>
      </c>
      <c r="AK18" s="90">
        <f t="shared" si="10"/>
        <v>103.03888330358511</v>
      </c>
      <c r="AL18" s="72">
        <f t="shared" si="11"/>
        <v>19.022563071431097</v>
      </c>
      <c r="AM18" s="88">
        <f t="shared" si="12"/>
        <v>0.73576843659263391</v>
      </c>
      <c r="AN18" s="91">
        <f t="shared" si="13"/>
        <v>6.1369197917561111</v>
      </c>
      <c r="AR18" s="56">
        <v>6.1369197917561111</v>
      </c>
      <c r="AS18" s="56">
        <v>0.73576843659263391</v>
      </c>
      <c r="AU18" s="2"/>
      <c r="AV18" s="2"/>
      <c r="AW18" s="115">
        <v>6.57</v>
      </c>
      <c r="AX18" s="2"/>
      <c r="AY18" s="2"/>
      <c r="AZ18" s="2"/>
      <c r="BA18" s="2"/>
      <c r="BB18" s="17"/>
      <c r="BC18" s="17"/>
      <c r="BD18" s="2"/>
    </row>
    <row r="19" spans="1:56" s="25" customFormat="1" x14ac:dyDescent="0.2">
      <c r="A19" s="25">
        <v>23</v>
      </c>
      <c r="B19" s="25" t="s">
        <v>116</v>
      </c>
      <c r="D19" s="26">
        <v>4</v>
      </c>
      <c r="E19" s="43">
        <v>2</v>
      </c>
      <c r="F19" s="26" t="s">
        <v>100</v>
      </c>
      <c r="G19" s="26" t="s">
        <v>117</v>
      </c>
      <c r="I19" s="25">
        <v>2</v>
      </c>
      <c r="J19" s="44">
        <v>52</v>
      </c>
      <c r="K19" s="44">
        <v>1</v>
      </c>
      <c r="L19" s="44">
        <v>452</v>
      </c>
      <c r="M19" s="44">
        <v>28</v>
      </c>
      <c r="N19" s="44">
        <v>496</v>
      </c>
      <c r="O19" s="100">
        <f t="shared" si="0"/>
        <v>444</v>
      </c>
      <c r="P19" s="44">
        <v>0</v>
      </c>
      <c r="Q19" s="101">
        <f t="shared" si="14"/>
        <v>-20</v>
      </c>
      <c r="R19" s="44">
        <v>157.19999999999999</v>
      </c>
      <c r="S19" s="44">
        <v>322.32</v>
      </c>
      <c r="T19" s="102">
        <v>0.20702546296296295</v>
      </c>
      <c r="U19" s="25" t="s">
        <v>162</v>
      </c>
      <c r="W19" s="43">
        <v>1.8400000000000034</v>
      </c>
      <c r="X19" s="43">
        <v>52</v>
      </c>
      <c r="Y19" s="43">
        <v>32</v>
      </c>
      <c r="AA19" s="103">
        <f t="shared" si="2"/>
        <v>68.117333333333335</v>
      </c>
      <c r="AB19" s="104">
        <f t="shared" si="3"/>
        <v>60.975999999999999</v>
      </c>
      <c r="AC19" s="103">
        <f t="shared" si="4"/>
        <v>0</v>
      </c>
      <c r="AD19" s="46">
        <f t="shared" si="5"/>
        <v>-4.67</v>
      </c>
      <c r="AE19" s="46">
        <v>8.0560000000000009</v>
      </c>
      <c r="AF19" s="46">
        <v>0.36314138530287987</v>
      </c>
      <c r="AG19" s="103">
        <f t="shared" si="6"/>
        <v>8.7764010000000017E-2</v>
      </c>
      <c r="AH19" s="105">
        <f t="shared" si="7"/>
        <v>0.29254670000000005</v>
      </c>
      <c r="AI19" s="106">
        <f t="shared" si="8"/>
        <v>776.14198956193229</v>
      </c>
      <c r="AJ19" s="107">
        <f t="shared" si="9"/>
        <v>208.43167945493826</v>
      </c>
      <c r="AK19" s="106">
        <f t="shared" si="10"/>
        <v>0</v>
      </c>
      <c r="AL19" s="108">
        <f t="shared" si="11"/>
        <v>-15.963263301209684</v>
      </c>
      <c r="AM19" s="103">
        <f t="shared" si="12"/>
        <v>8.4482637374761325</v>
      </c>
      <c r="AN19" s="109">
        <f t="shared" si="13"/>
        <v>0</v>
      </c>
      <c r="AR19" s="111">
        <v>0</v>
      </c>
      <c r="AS19" s="111">
        <v>8.4482637374761325</v>
      </c>
      <c r="AU19" s="119"/>
      <c r="AV19" s="119"/>
      <c r="AW19" s="119"/>
      <c r="AX19" s="119"/>
      <c r="AY19" s="119"/>
      <c r="AZ19" s="119"/>
      <c r="BA19" s="119"/>
      <c r="BB19" s="126"/>
      <c r="BC19" s="126"/>
      <c r="BD19" s="119"/>
    </row>
    <row r="20" spans="1:56" x14ac:dyDescent="0.2">
      <c r="A20" s="32">
        <v>3</v>
      </c>
      <c r="B20" s="32" t="s">
        <v>119</v>
      </c>
      <c r="C20" s="32"/>
      <c r="D20" s="33">
        <v>1</v>
      </c>
      <c r="E20" s="34">
        <v>3</v>
      </c>
      <c r="F20" s="33" t="s">
        <v>91</v>
      </c>
      <c r="G20" s="33" t="s">
        <v>117</v>
      </c>
      <c r="H20">
        <v>3</v>
      </c>
      <c r="I20">
        <v>1</v>
      </c>
      <c r="J20" s="1">
        <v>5</v>
      </c>
      <c r="K20" s="1">
        <v>1</v>
      </c>
      <c r="L20" s="1">
        <v>48</v>
      </c>
      <c r="M20" s="1">
        <v>6</v>
      </c>
      <c r="N20" s="1">
        <v>47</v>
      </c>
      <c r="O20" s="51">
        <f t="shared" si="0"/>
        <v>-8.0399999999999991</v>
      </c>
      <c r="P20" s="1">
        <v>38</v>
      </c>
      <c r="Q20" s="49">
        <f t="shared" si="14"/>
        <v>18</v>
      </c>
      <c r="R20" s="1">
        <v>525.76</v>
      </c>
      <c r="S20" s="1">
        <v>313.83</v>
      </c>
      <c r="T20" s="48">
        <v>0.13148148148148148</v>
      </c>
      <c r="U20" t="s">
        <v>162</v>
      </c>
      <c r="W20" s="29">
        <v>-18.72</v>
      </c>
      <c r="X20" s="29">
        <v>34</v>
      </c>
      <c r="Y20" s="29">
        <v>14</v>
      </c>
      <c r="AA20" s="88">
        <f t="shared" si="2"/>
        <v>6.4546666666666672</v>
      </c>
      <c r="AB20" s="40">
        <f t="shared" si="3"/>
        <v>-1.10416</v>
      </c>
      <c r="AC20" s="88">
        <f t="shared" si="4"/>
        <v>8.8729999999999993</v>
      </c>
      <c r="AD20" s="9">
        <f t="shared" si="5"/>
        <v>4.2030000000000003</v>
      </c>
      <c r="AE20" s="9">
        <v>8.0120000000000005</v>
      </c>
      <c r="AF20" s="9">
        <v>0.25888255117324011</v>
      </c>
      <c r="AG20" s="88">
        <f t="shared" si="6"/>
        <v>6.2225009999999997E-2</v>
      </c>
      <c r="AH20" s="54">
        <f t="shared" si="7"/>
        <v>0.20741669999999995</v>
      </c>
      <c r="AI20" s="90">
        <f t="shared" si="8"/>
        <v>103.7310667634552</v>
      </c>
      <c r="AJ20" s="73">
        <f t="shared" si="9"/>
        <v>-5.3233900645415737</v>
      </c>
      <c r="AK20" s="90">
        <f t="shared" si="10"/>
        <v>142.59539693123392</v>
      </c>
      <c r="AL20" s="72">
        <f t="shared" si="11"/>
        <v>20.263556406017457</v>
      </c>
      <c r="AM20" s="88">
        <f t="shared" si="12"/>
        <v>1.1291070726402004</v>
      </c>
      <c r="AN20" s="91">
        <f t="shared" si="13"/>
        <v>8.4928765295553248</v>
      </c>
      <c r="AO20" s="56">
        <f>(AM20+AM22+AM24+AM26)/4</f>
        <v>0.71433243628404297</v>
      </c>
      <c r="AP20" s="56">
        <f>(AN20+AN22+AN24+AN26)/4</f>
        <v>5.4581082604693165</v>
      </c>
      <c r="AU20" s="2">
        <v>5</v>
      </c>
      <c r="AV20" s="2" t="s">
        <v>337</v>
      </c>
      <c r="AW20" s="2"/>
      <c r="AX20" s="2" t="s">
        <v>334</v>
      </c>
      <c r="AY20" s="2"/>
      <c r="AZ20" s="2"/>
      <c r="BA20" s="2"/>
      <c r="BB20" s="17"/>
      <c r="BC20" s="17"/>
      <c r="BD20" s="2"/>
    </row>
    <row r="21" spans="1:56" x14ac:dyDescent="0.2">
      <c r="A21" s="32">
        <v>3</v>
      </c>
      <c r="B21" s="32" t="s">
        <v>116</v>
      </c>
      <c r="C21" s="32"/>
      <c r="D21" s="33">
        <v>1</v>
      </c>
      <c r="E21" s="34">
        <v>3</v>
      </c>
      <c r="F21" s="33" t="s">
        <v>100</v>
      </c>
      <c r="G21" s="33" t="s">
        <v>117</v>
      </c>
      <c r="I21">
        <v>2</v>
      </c>
      <c r="J21" s="1">
        <v>6</v>
      </c>
      <c r="K21" s="1">
        <v>1</v>
      </c>
      <c r="L21" s="1">
        <v>38</v>
      </c>
      <c r="M21" s="1">
        <v>5</v>
      </c>
      <c r="N21" s="1">
        <v>36</v>
      </c>
      <c r="O21" s="51">
        <f t="shared" si="0"/>
        <v>-18.72</v>
      </c>
      <c r="P21" s="1">
        <v>34</v>
      </c>
      <c r="Q21" s="49">
        <f t="shared" si="14"/>
        <v>14</v>
      </c>
      <c r="R21" s="1">
        <v>755.11</v>
      </c>
      <c r="S21" s="1">
        <v>306.26</v>
      </c>
      <c r="T21" s="48">
        <v>0.1330787037037037</v>
      </c>
      <c r="U21" t="s">
        <v>162</v>
      </c>
      <c r="W21" s="29">
        <v>-8.0399999999999991</v>
      </c>
      <c r="X21" s="29">
        <v>38</v>
      </c>
      <c r="Y21" s="29">
        <v>18</v>
      </c>
      <c r="AA21" s="88">
        <f t="shared" si="2"/>
        <v>4.944</v>
      </c>
      <c r="AB21" s="40">
        <f t="shared" si="3"/>
        <v>-2.5708800000000003</v>
      </c>
      <c r="AC21" s="88">
        <f t="shared" si="4"/>
        <v>7.9389999999999992</v>
      </c>
      <c r="AD21" s="9">
        <f t="shared" si="5"/>
        <v>3.2689999999999997</v>
      </c>
      <c r="AE21" s="9">
        <v>7.9639999999999995</v>
      </c>
      <c r="AF21" s="9">
        <v>0.44806215469613264</v>
      </c>
      <c r="AG21" s="88">
        <f t="shared" si="6"/>
        <v>0.10705101</v>
      </c>
      <c r="AH21" s="54">
        <f t="shared" si="7"/>
        <v>0.35683670000000001</v>
      </c>
      <c r="AI21" s="90">
        <f t="shared" si="8"/>
        <v>46.183590421052543</v>
      </c>
      <c r="AJ21" s="73">
        <f t="shared" si="9"/>
        <v>-7.2046401056841978</v>
      </c>
      <c r="AK21" s="90">
        <f t="shared" si="10"/>
        <v>74.160907029275094</v>
      </c>
      <c r="AL21" s="72">
        <f t="shared" si="11"/>
        <v>9.1610532212633942</v>
      </c>
      <c r="AM21" s="88">
        <f t="shared" si="12"/>
        <v>0.50270589333898485</v>
      </c>
      <c r="AN21" s="91">
        <f t="shared" si="13"/>
        <v>4.4169688522498562</v>
      </c>
      <c r="AO21" s="56">
        <f>(AM21+AM23+AM25+AM27)/4</f>
        <v>0.70810277109037467</v>
      </c>
      <c r="AP21" s="56">
        <f>(AN21+AN23+AN25+AN27)/4</f>
        <v>3.2127787303623472</v>
      </c>
      <c r="AU21" s="2"/>
      <c r="AV21" s="2"/>
      <c r="AW21" s="2"/>
      <c r="AX21" s="115">
        <v>1.7065516283009963</v>
      </c>
      <c r="AY21" s="115"/>
      <c r="AZ21" s="115"/>
      <c r="BA21" s="115">
        <f>AVERAGE(AX21:AX22)</f>
        <v>4.0613299049958131</v>
      </c>
      <c r="BB21" s="17"/>
      <c r="BC21" s="17"/>
      <c r="BD21" s="2"/>
    </row>
    <row r="22" spans="1:56" ht="15" x14ac:dyDescent="0.25">
      <c r="A22" s="32">
        <v>10</v>
      </c>
      <c r="B22" s="32" t="s">
        <v>131</v>
      </c>
      <c r="C22" s="32"/>
      <c r="D22" s="33">
        <v>2</v>
      </c>
      <c r="E22" s="34">
        <v>3</v>
      </c>
      <c r="F22" s="33" t="s">
        <v>91</v>
      </c>
      <c r="G22" s="33" t="s">
        <v>117</v>
      </c>
      <c r="H22">
        <v>10</v>
      </c>
      <c r="I22">
        <v>1</v>
      </c>
      <c r="J22" s="1">
        <v>21</v>
      </c>
      <c r="K22" s="1">
        <v>1</v>
      </c>
      <c r="L22" s="1">
        <v>280</v>
      </c>
      <c r="M22" s="1">
        <v>18</v>
      </c>
      <c r="N22" s="1">
        <v>304</v>
      </c>
      <c r="O22" s="51">
        <f t="shared" si="0"/>
        <v>252</v>
      </c>
      <c r="P22" s="1">
        <v>0</v>
      </c>
      <c r="Q22" s="49">
        <f t="shared" si="14"/>
        <v>-20</v>
      </c>
      <c r="R22" s="1">
        <v>247.1</v>
      </c>
      <c r="S22" s="1">
        <v>307.68</v>
      </c>
      <c r="T22" s="48">
        <v>0.15710648148148149</v>
      </c>
      <c r="U22" t="s">
        <v>162</v>
      </c>
      <c r="W22" s="29">
        <v>409</v>
      </c>
      <c r="X22" s="29">
        <v>0</v>
      </c>
      <c r="Y22" s="29">
        <v>-20</v>
      </c>
      <c r="AA22" s="88">
        <f t="shared" si="2"/>
        <v>41.749333333333333</v>
      </c>
      <c r="AB22" s="40">
        <f t="shared" si="3"/>
        <v>34.607999999999997</v>
      </c>
      <c r="AC22" s="88">
        <f t="shared" si="4"/>
        <v>0</v>
      </c>
      <c r="AD22" s="9">
        <f t="shared" si="5"/>
        <v>-4.67</v>
      </c>
      <c r="AE22" s="9">
        <v>7.976</v>
      </c>
      <c r="AF22" s="9">
        <v>0.42909566198595794</v>
      </c>
      <c r="AG22" s="88">
        <f t="shared" si="6"/>
        <v>0.10267401000000001</v>
      </c>
      <c r="AH22" s="54">
        <f t="shared" si="7"/>
        <v>0.34224670000000007</v>
      </c>
      <c r="AI22" s="90">
        <f t="shared" si="8"/>
        <v>406.62026673871344</v>
      </c>
      <c r="AJ22" s="73">
        <f t="shared" si="9"/>
        <v>101.12004001791686</v>
      </c>
      <c r="AK22" s="90">
        <f t="shared" si="10"/>
        <v>0</v>
      </c>
      <c r="AL22" s="72">
        <f t="shared" si="11"/>
        <v>-13.64512791503906</v>
      </c>
      <c r="AM22" s="40">
        <v>0</v>
      </c>
      <c r="AN22" s="110">
        <v>4.43</v>
      </c>
      <c r="AO22" t="s">
        <v>333</v>
      </c>
      <c r="AU22" s="2"/>
      <c r="AV22" s="2"/>
      <c r="AW22" s="2"/>
      <c r="AX22" s="115">
        <v>6.41610818169063</v>
      </c>
      <c r="AY22" s="2"/>
      <c r="AZ22" s="2"/>
      <c r="BA22" s="2"/>
      <c r="BB22" s="8"/>
      <c r="BC22" s="8"/>
      <c r="BD22" s="2"/>
    </row>
    <row r="23" spans="1:56" ht="15" x14ac:dyDescent="0.25">
      <c r="A23" s="32">
        <v>10</v>
      </c>
      <c r="B23" s="32" t="s">
        <v>132</v>
      </c>
      <c r="C23" s="32"/>
      <c r="D23" s="33">
        <v>2</v>
      </c>
      <c r="E23" s="34">
        <v>3</v>
      </c>
      <c r="F23" s="33" t="s">
        <v>100</v>
      </c>
      <c r="G23" s="33" t="s">
        <v>117</v>
      </c>
      <c r="I23">
        <v>2</v>
      </c>
      <c r="J23" s="1">
        <v>22</v>
      </c>
      <c r="K23" s="1">
        <v>1</v>
      </c>
      <c r="L23" s="1">
        <v>424</v>
      </c>
      <c r="M23" s="1">
        <v>28</v>
      </c>
      <c r="N23" s="1">
        <v>461</v>
      </c>
      <c r="O23" s="51">
        <f t="shared" si="0"/>
        <v>409</v>
      </c>
      <c r="P23" s="1">
        <v>0</v>
      </c>
      <c r="Q23" s="49">
        <f t="shared" si="14"/>
        <v>-20</v>
      </c>
      <c r="R23" s="1">
        <v>171.22</v>
      </c>
      <c r="S23" s="1">
        <v>318.16000000000003</v>
      </c>
      <c r="T23" s="48">
        <v>0.15871527777777777</v>
      </c>
      <c r="U23" t="s">
        <v>162</v>
      </c>
      <c r="W23" s="29">
        <v>252</v>
      </c>
      <c r="X23" s="29">
        <v>0</v>
      </c>
      <c r="Y23" s="29">
        <v>-20</v>
      </c>
      <c r="AA23" s="88">
        <f t="shared" si="2"/>
        <v>63.310666666666663</v>
      </c>
      <c r="AB23" s="40">
        <f t="shared" si="3"/>
        <v>56.169333333333341</v>
      </c>
      <c r="AC23" s="88">
        <f t="shared" si="4"/>
        <v>0</v>
      </c>
      <c r="AD23" s="9">
        <f t="shared" si="5"/>
        <v>-4.67</v>
      </c>
      <c r="AE23" s="9">
        <v>8.0399999999999991</v>
      </c>
      <c r="AF23" s="9">
        <v>0.3738516169154229</v>
      </c>
      <c r="AG23" s="88">
        <f t="shared" si="6"/>
        <v>9.0173009999999998E-2</v>
      </c>
      <c r="AH23" s="54">
        <f t="shared" si="7"/>
        <v>0.30057669999999997</v>
      </c>
      <c r="AI23" s="90">
        <f t="shared" si="8"/>
        <v>702.10217743276689</v>
      </c>
      <c r="AJ23" s="73">
        <f t="shared" si="9"/>
        <v>186.87188106507705</v>
      </c>
      <c r="AK23" s="90">
        <f t="shared" si="10"/>
        <v>0</v>
      </c>
      <c r="AL23" s="72">
        <f t="shared" si="11"/>
        <v>-15.536799758597391</v>
      </c>
      <c r="AM23" s="40">
        <v>0</v>
      </c>
      <c r="AN23" s="110">
        <v>7.64</v>
      </c>
      <c r="AU23" s="2"/>
      <c r="AV23" s="2"/>
      <c r="AW23" s="2"/>
      <c r="AX23" s="2"/>
      <c r="AY23" s="2"/>
      <c r="AZ23" s="2"/>
      <c r="BA23" s="2"/>
      <c r="BB23" s="124"/>
      <c r="BC23" s="124"/>
      <c r="BD23" s="2"/>
    </row>
    <row r="24" spans="1:56" x14ac:dyDescent="0.2">
      <c r="A24" s="32">
        <v>17</v>
      </c>
      <c r="B24" s="32" t="s">
        <v>119</v>
      </c>
      <c r="C24" s="32"/>
      <c r="D24" s="33">
        <v>3</v>
      </c>
      <c r="E24" s="34">
        <v>3</v>
      </c>
      <c r="F24" s="33" t="s">
        <v>91</v>
      </c>
      <c r="G24" s="33" t="s">
        <v>117</v>
      </c>
      <c r="H24">
        <v>17</v>
      </c>
      <c r="I24">
        <v>1</v>
      </c>
      <c r="J24" s="1">
        <v>37</v>
      </c>
      <c r="K24" s="1">
        <v>1</v>
      </c>
      <c r="L24" s="1">
        <v>55</v>
      </c>
      <c r="M24" s="1">
        <v>5</v>
      </c>
      <c r="N24" s="1">
        <v>57</v>
      </c>
      <c r="O24" s="51">
        <f t="shared" si="0"/>
        <v>3.7199999999999989</v>
      </c>
      <c r="P24" s="1">
        <v>16</v>
      </c>
      <c r="Q24" s="49">
        <f t="shared" si="14"/>
        <v>-4</v>
      </c>
      <c r="R24" s="1">
        <v>753.66</v>
      </c>
      <c r="S24" s="1">
        <v>326.70999999999998</v>
      </c>
      <c r="T24" s="48">
        <v>0.18289351851851851</v>
      </c>
      <c r="U24" t="s">
        <v>162</v>
      </c>
      <c r="W24" s="29">
        <v>13</v>
      </c>
      <c r="X24" s="29">
        <v>0</v>
      </c>
      <c r="Y24" s="29">
        <v>-20</v>
      </c>
      <c r="AA24" s="88">
        <f t="shared" si="2"/>
        <v>7.8280000000000003</v>
      </c>
      <c r="AB24" s="40">
        <f t="shared" si="3"/>
        <v>0.51087999999999989</v>
      </c>
      <c r="AC24" s="88">
        <f t="shared" si="4"/>
        <v>3.7359999999999998</v>
      </c>
      <c r="AD24" s="9">
        <f t="shared" si="5"/>
        <v>-0.93399999999999994</v>
      </c>
      <c r="AE24" s="9">
        <v>8.0279999999999987</v>
      </c>
      <c r="AF24" s="9">
        <v>0.39344382162431496</v>
      </c>
      <c r="AG24" s="88">
        <f t="shared" si="6"/>
        <v>9.4757010000000003E-2</v>
      </c>
      <c r="AH24" s="54">
        <f t="shared" si="7"/>
        <v>0.31585669999999999</v>
      </c>
      <c r="AI24" s="90">
        <f t="shared" si="8"/>
        <v>82.611302319480117</v>
      </c>
      <c r="AJ24" s="73">
        <f t="shared" si="9"/>
        <v>1.6174423401498208</v>
      </c>
      <c r="AK24" s="90">
        <f t="shared" si="10"/>
        <v>39.427162169848962</v>
      </c>
      <c r="AL24" s="72">
        <f t="shared" si="11"/>
        <v>-2.957037162738672</v>
      </c>
      <c r="AM24" s="88">
        <f t="shared" ref="AM24:AM57" si="15">AI24/AM$3*100</f>
        <v>0.89921957461064683</v>
      </c>
      <c r="AN24" s="91">
        <f t="shared" ref="AN24:AN57" si="16">AK24/AN$3*100</f>
        <v>2.3482526605032139</v>
      </c>
      <c r="AU24" s="119"/>
      <c r="AV24" s="119"/>
      <c r="AW24" s="119"/>
      <c r="AX24" s="120" t="s">
        <v>341</v>
      </c>
      <c r="AY24" s="121">
        <f>AVERAGE(AY6:AY17)</f>
        <v>2.4066631477127078</v>
      </c>
      <c r="AZ24" s="121">
        <f t="shared" ref="AZ24:BA24" si="17">AVERAGE(AZ6:AZ17)</f>
        <v>4.5179016849626406</v>
      </c>
      <c r="BA24" s="121">
        <f t="shared" si="17"/>
        <v>4.9534719424896725</v>
      </c>
      <c r="BB24" s="123">
        <f>AY24/BA24*100</f>
        <v>48.585379621694017</v>
      </c>
      <c r="BC24" s="123">
        <f>AZ24/BA24*100</f>
        <v>91.206768452833728</v>
      </c>
      <c r="BD24" s="2"/>
    </row>
    <row r="25" spans="1:56" x14ac:dyDescent="0.2">
      <c r="A25" s="32">
        <v>17</v>
      </c>
      <c r="B25" s="32" t="s">
        <v>116</v>
      </c>
      <c r="C25" s="32"/>
      <c r="D25" s="33">
        <v>3</v>
      </c>
      <c r="E25" s="34">
        <v>3</v>
      </c>
      <c r="F25" s="33" t="s">
        <v>100</v>
      </c>
      <c r="G25" s="33" t="s">
        <v>117</v>
      </c>
      <c r="I25">
        <v>2</v>
      </c>
      <c r="J25" s="1">
        <v>38</v>
      </c>
      <c r="K25" s="1">
        <v>1</v>
      </c>
      <c r="L25" s="1">
        <v>60</v>
      </c>
      <c r="M25" s="1">
        <v>4</v>
      </c>
      <c r="N25" s="1">
        <v>65</v>
      </c>
      <c r="O25" s="51">
        <f t="shared" si="0"/>
        <v>13</v>
      </c>
      <c r="P25" s="1">
        <v>0</v>
      </c>
      <c r="Q25" s="49">
        <f t="shared" si="14"/>
        <v>-20</v>
      </c>
      <c r="R25" s="1">
        <v>753.53</v>
      </c>
      <c r="S25" s="1">
        <v>325.60000000000002</v>
      </c>
      <c r="T25" s="48">
        <v>0.18450231481481483</v>
      </c>
      <c r="U25" t="s">
        <v>162</v>
      </c>
      <c r="W25" s="29">
        <v>3.7199999999999989</v>
      </c>
      <c r="X25" s="29">
        <v>16</v>
      </c>
      <c r="Y25" s="29">
        <v>-4</v>
      </c>
      <c r="AA25" s="88">
        <f t="shared" si="2"/>
        <v>8.9266666666666676</v>
      </c>
      <c r="AB25" s="40">
        <f t="shared" si="3"/>
        <v>1.7853333333333334</v>
      </c>
      <c r="AC25" s="88">
        <f t="shared" si="4"/>
        <v>0</v>
      </c>
      <c r="AD25" s="9">
        <f t="shared" si="5"/>
        <v>-4.67</v>
      </c>
      <c r="AE25" s="9">
        <v>8.0359999999999996</v>
      </c>
      <c r="AF25" s="9">
        <v>0.29341301642608264</v>
      </c>
      <c r="AG25" s="88">
        <f t="shared" si="6"/>
        <v>7.0736009999999988E-2</v>
      </c>
      <c r="AH25" s="54">
        <f t="shared" si="7"/>
        <v>0.23578670000000002</v>
      </c>
      <c r="AI25" s="90">
        <f t="shared" si="8"/>
        <v>126.19692101189577</v>
      </c>
      <c r="AJ25" s="73">
        <f t="shared" si="9"/>
        <v>7.5718152607137439</v>
      </c>
      <c r="AK25" s="90">
        <f t="shared" si="10"/>
        <v>0</v>
      </c>
      <c r="AL25" s="72">
        <f t="shared" si="11"/>
        <v>-19.806036557617539</v>
      </c>
      <c r="AM25" s="88">
        <f t="shared" si="15"/>
        <v>1.3736466856633913</v>
      </c>
      <c r="AN25" s="91">
        <f t="shared" si="16"/>
        <v>0</v>
      </c>
      <c r="AU25" s="2"/>
      <c r="AV25" s="2"/>
      <c r="AW25" s="2"/>
      <c r="AX25" s="2"/>
      <c r="AY25" s="2"/>
      <c r="AZ25" s="2"/>
      <c r="BA25" s="2"/>
      <c r="BB25" s="17"/>
      <c r="BC25" s="17"/>
      <c r="BD25" s="2"/>
    </row>
    <row r="26" spans="1:56" s="32" customFormat="1" x14ac:dyDescent="0.2">
      <c r="A26" s="32">
        <v>24</v>
      </c>
      <c r="B26" s="32" t="s">
        <v>119</v>
      </c>
      <c r="D26" s="33">
        <v>4</v>
      </c>
      <c r="E26" s="34">
        <v>3</v>
      </c>
      <c r="F26" s="33" t="s">
        <v>91</v>
      </c>
      <c r="G26" s="33" t="s">
        <v>117</v>
      </c>
      <c r="H26" s="32">
        <v>24</v>
      </c>
      <c r="I26" s="32">
        <v>1</v>
      </c>
      <c r="J26" s="67">
        <v>53</v>
      </c>
      <c r="K26" s="67">
        <v>1</v>
      </c>
      <c r="L26" s="67">
        <v>69</v>
      </c>
      <c r="M26" s="67">
        <v>9</v>
      </c>
      <c r="N26" s="67">
        <v>67</v>
      </c>
      <c r="O26" s="92">
        <f t="shared" si="0"/>
        <v>10.439999999999998</v>
      </c>
      <c r="P26" s="67">
        <v>57</v>
      </c>
      <c r="Q26" s="93">
        <f t="shared" si="14"/>
        <v>37</v>
      </c>
      <c r="R26" s="67">
        <v>699.1</v>
      </c>
      <c r="S26" s="67">
        <v>327.36</v>
      </c>
      <c r="T26" s="94">
        <v>0.20863425925925927</v>
      </c>
      <c r="U26" s="32" t="s">
        <v>162</v>
      </c>
      <c r="W26" s="34">
        <v>3.6000000000000014</v>
      </c>
      <c r="X26" s="34">
        <v>5</v>
      </c>
      <c r="Y26" s="34">
        <v>-15</v>
      </c>
      <c r="AA26" s="95">
        <f t="shared" si="2"/>
        <v>9.2013333333333343</v>
      </c>
      <c r="AB26" s="74">
        <f t="shared" si="3"/>
        <v>1.4337599999999997</v>
      </c>
      <c r="AC26" s="95">
        <f t="shared" si="4"/>
        <v>13.309499999999998</v>
      </c>
      <c r="AD26" s="42">
        <f t="shared" si="5"/>
        <v>8.6395</v>
      </c>
      <c r="AE26" s="42">
        <v>7.9479999999999995</v>
      </c>
      <c r="AF26" s="42">
        <v>0.50668935581278307</v>
      </c>
      <c r="AG26" s="95">
        <f t="shared" si="6"/>
        <v>0.12081500999999997</v>
      </c>
      <c r="AH26" s="96">
        <f t="shared" si="7"/>
        <v>0.40271669999999993</v>
      </c>
      <c r="AI26" s="97">
        <f t="shared" si="8"/>
        <v>76.160514602724746</v>
      </c>
      <c r="AJ26" s="98">
        <f t="shared" si="9"/>
        <v>3.5602198766527438</v>
      </c>
      <c r="AK26" s="97">
        <f t="shared" si="10"/>
        <v>110.16429167203646</v>
      </c>
      <c r="AL26" s="39">
        <f t="shared" si="11"/>
        <v>21.453046272975524</v>
      </c>
      <c r="AM26" s="95">
        <f t="shared" si="15"/>
        <v>0.82900309788532434</v>
      </c>
      <c r="AN26" s="99">
        <f t="shared" si="16"/>
        <v>6.5613038518187281</v>
      </c>
      <c r="AU26" s="2">
        <v>4</v>
      </c>
      <c r="AV26" s="2" t="s">
        <v>338</v>
      </c>
      <c r="AW26" s="2" t="s">
        <v>335</v>
      </c>
      <c r="AX26" s="2" t="s">
        <v>334</v>
      </c>
      <c r="AY26" s="2"/>
      <c r="AZ26" s="2"/>
      <c r="BA26" s="2"/>
      <c r="BB26" s="125"/>
      <c r="BC26" s="125"/>
      <c r="BD26" s="117"/>
    </row>
    <row r="27" spans="1:56" s="25" customFormat="1" x14ac:dyDescent="0.2">
      <c r="A27" s="25">
        <v>24</v>
      </c>
      <c r="B27" s="25" t="s">
        <v>116</v>
      </c>
      <c r="D27" s="26">
        <v>4</v>
      </c>
      <c r="E27" s="43">
        <v>3</v>
      </c>
      <c r="F27" s="26" t="s">
        <v>100</v>
      </c>
      <c r="G27" s="26" t="s">
        <v>117</v>
      </c>
      <c r="I27" s="25">
        <v>2</v>
      </c>
      <c r="J27" s="44">
        <v>54</v>
      </c>
      <c r="K27" s="44">
        <v>1</v>
      </c>
      <c r="L27" s="44">
        <v>52</v>
      </c>
      <c r="M27" s="44">
        <v>4</v>
      </c>
      <c r="N27" s="44">
        <v>56</v>
      </c>
      <c r="O27" s="100">
        <f t="shared" si="0"/>
        <v>3.6000000000000014</v>
      </c>
      <c r="P27" s="44">
        <v>5</v>
      </c>
      <c r="Q27" s="101">
        <f t="shared" si="14"/>
        <v>-15</v>
      </c>
      <c r="R27" s="44">
        <v>805.9</v>
      </c>
      <c r="S27" s="44">
        <v>326.38</v>
      </c>
      <c r="T27" s="102">
        <v>0.21024305555555556</v>
      </c>
      <c r="U27" s="25" t="s">
        <v>162</v>
      </c>
      <c r="W27" s="43">
        <v>10.439999999999998</v>
      </c>
      <c r="X27" s="43">
        <v>57</v>
      </c>
      <c r="Y27" s="43">
        <v>37</v>
      </c>
      <c r="AA27" s="103">
        <f t="shared" si="2"/>
        <v>7.690666666666667</v>
      </c>
      <c r="AB27" s="104">
        <f t="shared" si="3"/>
        <v>0.49440000000000023</v>
      </c>
      <c r="AC27" s="103">
        <f t="shared" si="4"/>
        <v>1.1675</v>
      </c>
      <c r="AD27" s="46">
        <f t="shared" si="5"/>
        <v>-3.5024999999999999</v>
      </c>
      <c r="AE27" s="46">
        <v>7.96</v>
      </c>
      <c r="AF27" s="46">
        <v>0.36666670854271355</v>
      </c>
      <c r="AG27" s="103">
        <f t="shared" si="6"/>
        <v>8.7560009999999994E-2</v>
      </c>
      <c r="AH27" s="105">
        <f t="shared" si="7"/>
        <v>0.29186669999999998</v>
      </c>
      <c r="AI27" s="106">
        <f t="shared" si="8"/>
        <v>87.833094887342611</v>
      </c>
      <c r="AJ27" s="107">
        <f t="shared" si="9"/>
        <v>1.6939239728273223</v>
      </c>
      <c r="AK27" s="106">
        <f t="shared" si="10"/>
        <v>13.333712501860154</v>
      </c>
      <c r="AL27" s="108">
        <f t="shared" si="11"/>
        <v>-12.000341251674138</v>
      </c>
      <c r="AM27" s="103">
        <f t="shared" si="15"/>
        <v>0.95605850535912285</v>
      </c>
      <c r="AN27" s="109">
        <f t="shared" si="16"/>
        <v>0.79414606919953268</v>
      </c>
      <c r="AU27" s="2"/>
      <c r="AV27" s="2"/>
      <c r="AW27" s="115">
        <v>0.73955995809553077</v>
      </c>
      <c r="AX27" s="115">
        <v>3.0907094318754793</v>
      </c>
      <c r="AY27" s="115">
        <f>AVERAGE(AW27:AW28)</f>
        <v>0.93903703305339825</v>
      </c>
      <c r="AZ27" s="115"/>
      <c r="BA27" s="115">
        <f>AVERAGE(AX27:AX28)</f>
        <v>3.9157493617579773</v>
      </c>
      <c r="BB27" s="127">
        <f>AY27/BA27*100</f>
        <v>23.981030099225176</v>
      </c>
      <c r="BC27" s="126"/>
      <c r="BD27" s="119"/>
    </row>
    <row r="28" spans="1:56" x14ac:dyDescent="0.2">
      <c r="A28" s="32">
        <v>4</v>
      </c>
      <c r="B28" s="32" t="s">
        <v>120</v>
      </c>
      <c r="C28" s="32"/>
      <c r="D28" s="33">
        <v>1</v>
      </c>
      <c r="E28" s="34">
        <v>4</v>
      </c>
      <c r="F28" s="33" t="s">
        <v>91</v>
      </c>
      <c r="G28" s="33" t="s">
        <v>115</v>
      </c>
      <c r="H28">
        <v>4</v>
      </c>
      <c r="I28">
        <v>1</v>
      </c>
      <c r="J28" s="1">
        <v>7</v>
      </c>
      <c r="K28" s="1">
        <v>1</v>
      </c>
      <c r="L28" s="1">
        <v>48</v>
      </c>
      <c r="M28" s="1">
        <v>5</v>
      </c>
      <c r="N28" s="1">
        <v>49</v>
      </c>
      <c r="O28" s="51">
        <f t="shared" si="0"/>
        <v>-4.8400000000000034</v>
      </c>
      <c r="P28" s="1">
        <v>23</v>
      </c>
      <c r="Q28" s="49">
        <f t="shared" si="14"/>
        <v>3</v>
      </c>
      <c r="R28" s="1">
        <v>966.77</v>
      </c>
      <c r="S28" s="1">
        <v>326.39</v>
      </c>
      <c r="T28" s="48">
        <v>0.13467592592592592</v>
      </c>
      <c r="U28" t="s">
        <v>162</v>
      </c>
      <c r="W28" s="51">
        <v>12</v>
      </c>
      <c r="X28" s="47">
        <v>0</v>
      </c>
      <c r="Y28" s="51">
        <v>-20</v>
      </c>
      <c r="AA28" s="88">
        <f t="shared" si="2"/>
        <v>6.7293333333333329</v>
      </c>
      <c r="AB28" s="40">
        <f t="shared" si="3"/>
        <v>-0.6646933333333338</v>
      </c>
      <c r="AC28" s="88">
        <f t="shared" si="4"/>
        <v>5.3705000000000007</v>
      </c>
      <c r="AD28" s="9">
        <f t="shared" si="5"/>
        <v>0.70050000000000001</v>
      </c>
      <c r="AE28" s="9">
        <v>7.968</v>
      </c>
      <c r="AF28" s="9">
        <v>0.34665750502008041</v>
      </c>
      <c r="AG28" s="88">
        <f t="shared" si="6"/>
        <v>8.2865010000000031E-2</v>
      </c>
      <c r="AH28" s="54">
        <f t="shared" si="7"/>
        <v>0.27621670000000009</v>
      </c>
      <c r="AI28" s="90">
        <f t="shared" si="8"/>
        <v>81.208381358227442</v>
      </c>
      <c r="AJ28" s="73">
        <f t="shared" si="9"/>
        <v>-2.4064197904519662</v>
      </c>
      <c r="AK28" s="90">
        <f t="shared" si="10"/>
        <v>64.8102256911572</v>
      </c>
      <c r="AL28" s="72">
        <f t="shared" si="11"/>
        <v>2.5360523096539773</v>
      </c>
      <c r="AM28" s="88">
        <f t="shared" si="15"/>
        <v>0.88394885553747071</v>
      </c>
      <c r="AN28" s="91">
        <f t="shared" si="16"/>
        <v>3.860049177555521</v>
      </c>
      <c r="AO28" s="113">
        <f>(AM28+AM30+AM32+AM34)/4</f>
        <v>0.73955995809553077</v>
      </c>
      <c r="AP28" s="113">
        <f>(AN28+AN30+AN32+AN34)/4</f>
        <v>3.0907094318754793</v>
      </c>
      <c r="AU28" s="117"/>
      <c r="AV28" s="117"/>
      <c r="AW28" s="118">
        <v>1.1385141080112657</v>
      </c>
      <c r="AX28" s="118">
        <v>4.7407892916404757</v>
      </c>
      <c r="AY28" s="117"/>
      <c r="AZ28" s="117"/>
      <c r="BA28" s="117"/>
      <c r="BB28" s="17"/>
      <c r="BC28" s="17"/>
      <c r="BD28" s="2"/>
    </row>
    <row r="29" spans="1:56" x14ac:dyDescent="0.2">
      <c r="A29" s="32">
        <v>4</v>
      </c>
      <c r="B29" s="32" t="s">
        <v>116</v>
      </c>
      <c r="C29" s="32"/>
      <c r="D29" s="33">
        <v>1</v>
      </c>
      <c r="E29" s="34">
        <v>4</v>
      </c>
      <c r="F29" s="33" t="s">
        <v>100</v>
      </c>
      <c r="G29" s="33" t="s">
        <v>117</v>
      </c>
      <c r="I29">
        <v>2</v>
      </c>
      <c r="J29" s="1">
        <v>8</v>
      </c>
      <c r="K29" s="1">
        <v>1</v>
      </c>
      <c r="L29" s="1">
        <v>59</v>
      </c>
      <c r="M29" s="1">
        <v>4</v>
      </c>
      <c r="N29" s="1">
        <v>64</v>
      </c>
      <c r="O29" s="51">
        <f t="shared" si="0"/>
        <v>12</v>
      </c>
      <c r="P29" s="1">
        <v>0</v>
      </c>
      <c r="Q29" s="49">
        <f t="shared" si="14"/>
        <v>-20</v>
      </c>
      <c r="R29" s="1">
        <v>659.11</v>
      </c>
      <c r="S29" s="1">
        <v>321.19</v>
      </c>
      <c r="T29" s="48">
        <v>0.13626157407407408</v>
      </c>
      <c r="U29" t="s">
        <v>162</v>
      </c>
      <c r="W29" s="51">
        <v>-4.8400000000000034</v>
      </c>
      <c r="X29" s="47">
        <v>23</v>
      </c>
      <c r="Y29" s="51">
        <v>3</v>
      </c>
      <c r="AA29" s="88">
        <f t="shared" si="2"/>
        <v>8.7893333333333334</v>
      </c>
      <c r="AB29" s="40">
        <f t="shared" si="3"/>
        <v>1.6479999999999999</v>
      </c>
      <c r="AC29" s="88">
        <f t="shared" si="4"/>
        <v>0</v>
      </c>
      <c r="AD29" s="9">
        <f t="shared" si="5"/>
        <v>-4.67</v>
      </c>
      <c r="AE29" s="9">
        <v>7.9720000000000004</v>
      </c>
      <c r="AF29" s="9">
        <v>0.2732271700953337</v>
      </c>
      <c r="AG29" s="88">
        <f t="shared" si="6"/>
        <v>6.5345010000000009E-2</v>
      </c>
      <c r="AH29" s="54">
        <f t="shared" si="7"/>
        <v>0.21781670000000003</v>
      </c>
      <c r="AI29" s="90">
        <f t="shared" si="8"/>
        <v>134.50657262633109</v>
      </c>
      <c r="AJ29" s="73">
        <f t="shared" si="9"/>
        <v>7.5659947102311245</v>
      </c>
      <c r="AK29" s="90">
        <f t="shared" si="10"/>
        <v>0</v>
      </c>
      <c r="AL29" s="72">
        <f t="shared" si="11"/>
        <v>-21.440045689793294</v>
      </c>
      <c r="AM29" s="88">
        <f t="shared" si="15"/>
        <v>1.464096795758475</v>
      </c>
      <c r="AN29" s="91">
        <f t="shared" si="16"/>
        <v>0</v>
      </c>
      <c r="AO29" s="113">
        <f>(AM29+AM31+AM33+AM35)/4</f>
        <v>1.1385141080112657</v>
      </c>
      <c r="AP29" s="113">
        <f>(AN29+AN31+AN33+AN35)/4</f>
        <v>4.7407892916404757</v>
      </c>
      <c r="AU29" s="2">
        <v>3</v>
      </c>
      <c r="AV29" s="2" t="s">
        <v>338</v>
      </c>
      <c r="AW29" s="2" t="s">
        <v>336</v>
      </c>
      <c r="AX29" s="2" t="s">
        <v>334</v>
      </c>
      <c r="AY29" s="2"/>
      <c r="AZ29" s="2"/>
      <c r="BA29" s="2"/>
      <c r="BB29" s="8"/>
      <c r="BC29" s="17"/>
      <c r="BD29" s="2"/>
    </row>
    <row r="30" spans="1:56" x14ac:dyDescent="0.2">
      <c r="A30" s="32">
        <v>11</v>
      </c>
      <c r="B30" s="32" t="s">
        <v>120</v>
      </c>
      <c r="C30" s="32"/>
      <c r="D30" s="33">
        <v>2</v>
      </c>
      <c r="E30" s="34">
        <v>4</v>
      </c>
      <c r="F30" s="33" t="s">
        <v>91</v>
      </c>
      <c r="G30" s="33" t="s">
        <v>115</v>
      </c>
      <c r="H30">
        <v>11</v>
      </c>
      <c r="I30">
        <v>1</v>
      </c>
      <c r="J30" s="1">
        <v>23</v>
      </c>
      <c r="K30" s="1">
        <v>1</v>
      </c>
      <c r="L30" s="1">
        <v>57</v>
      </c>
      <c r="M30" s="1">
        <v>3</v>
      </c>
      <c r="N30" s="1">
        <v>64</v>
      </c>
      <c r="O30" s="51">
        <f t="shared" si="0"/>
        <v>12</v>
      </c>
      <c r="P30" s="1">
        <v>0</v>
      </c>
      <c r="Q30" s="49">
        <f t="shared" si="14"/>
        <v>-20</v>
      </c>
      <c r="R30" s="1">
        <v>680.13</v>
      </c>
      <c r="S30" s="1">
        <v>334.58</v>
      </c>
      <c r="T30" s="48">
        <v>0.16032407407407409</v>
      </c>
      <c r="U30" t="s">
        <v>162</v>
      </c>
      <c r="W30" s="29">
        <v>3.7999999999999972</v>
      </c>
      <c r="X30" s="29">
        <v>40</v>
      </c>
      <c r="Y30" s="29">
        <v>20</v>
      </c>
      <c r="AA30" s="88">
        <f t="shared" si="2"/>
        <v>8.7893333333333334</v>
      </c>
      <c r="AB30" s="40">
        <f t="shared" si="3"/>
        <v>1.6479999999999999</v>
      </c>
      <c r="AC30" s="88">
        <f t="shared" si="4"/>
        <v>0</v>
      </c>
      <c r="AD30" s="9">
        <f t="shared" si="5"/>
        <v>-4.67</v>
      </c>
      <c r="AE30" s="9">
        <v>7.976</v>
      </c>
      <c r="AF30" s="9">
        <v>0.52364180040120367</v>
      </c>
      <c r="AG30" s="88">
        <f t="shared" si="6"/>
        <v>0.12529701000000001</v>
      </c>
      <c r="AH30" s="54">
        <f t="shared" si="7"/>
        <v>0.41765670000000005</v>
      </c>
      <c r="AI30" s="90">
        <f t="shared" si="8"/>
        <v>70.147989431937219</v>
      </c>
      <c r="AJ30" s="73">
        <f t="shared" si="9"/>
        <v>3.9458244055464684</v>
      </c>
      <c r="AK30" s="90">
        <f t="shared" si="10"/>
        <v>0</v>
      </c>
      <c r="AL30" s="72">
        <f t="shared" si="11"/>
        <v>-11.181432022998791</v>
      </c>
      <c r="AM30" s="88">
        <f t="shared" si="15"/>
        <v>0.76355708535906408</v>
      </c>
      <c r="AN30" s="91">
        <f t="shared" si="16"/>
        <v>0</v>
      </c>
      <c r="AO30" t="s">
        <v>332</v>
      </c>
      <c r="AU30" s="2"/>
      <c r="AV30" s="2"/>
      <c r="AW30" s="115">
        <v>0.71433243628404297</v>
      </c>
      <c r="AX30" s="115">
        <v>5.4581082604693165</v>
      </c>
      <c r="AY30" s="115">
        <f>AVERAGE(AW30:AW31)</f>
        <v>0.71121760368720888</v>
      </c>
      <c r="AZ30" s="115"/>
      <c r="BA30" s="115">
        <f>AVERAGE(AX30:AX31)</f>
        <v>4.3354434954158316</v>
      </c>
      <c r="BB30" s="8"/>
      <c r="BC30" s="127">
        <f>AY30/BA30*100</f>
        <v>16.404725478240671</v>
      </c>
      <c r="BD30" s="2"/>
    </row>
    <row r="31" spans="1:56" x14ac:dyDescent="0.2">
      <c r="A31" s="32">
        <v>11</v>
      </c>
      <c r="B31" s="32" t="s">
        <v>116</v>
      </c>
      <c r="C31" s="32"/>
      <c r="D31" s="33">
        <v>2</v>
      </c>
      <c r="E31" s="34">
        <v>4</v>
      </c>
      <c r="F31" s="33" t="s">
        <v>100</v>
      </c>
      <c r="G31" s="33" t="s">
        <v>117</v>
      </c>
      <c r="I31">
        <v>2</v>
      </c>
      <c r="J31" s="1">
        <v>24</v>
      </c>
      <c r="K31" s="1">
        <v>1</v>
      </c>
      <c r="L31" s="1">
        <v>60</v>
      </c>
      <c r="M31" s="1">
        <v>7</v>
      </c>
      <c r="N31" s="1">
        <v>59</v>
      </c>
      <c r="O31" s="51">
        <f t="shared" si="0"/>
        <v>3.7999999999999972</v>
      </c>
      <c r="P31" s="1">
        <v>40</v>
      </c>
      <c r="Q31" s="49">
        <f t="shared" si="14"/>
        <v>20</v>
      </c>
      <c r="R31" s="1">
        <v>733.19</v>
      </c>
      <c r="S31" s="1">
        <v>314.91000000000003</v>
      </c>
      <c r="T31" s="48">
        <v>0.16193287037037038</v>
      </c>
      <c r="U31" t="s">
        <v>162</v>
      </c>
      <c r="W31" s="29">
        <v>12</v>
      </c>
      <c r="X31" s="29">
        <v>0</v>
      </c>
      <c r="Y31" s="29">
        <v>-20</v>
      </c>
      <c r="AA31" s="88">
        <f t="shared" si="2"/>
        <v>8.1026666666666678</v>
      </c>
      <c r="AB31" s="40">
        <f t="shared" si="3"/>
        <v>0.52186666666666626</v>
      </c>
      <c r="AC31" s="88">
        <f t="shared" si="4"/>
        <v>9.34</v>
      </c>
      <c r="AD31" s="9">
        <f t="shared" si="5"/>
        <v>4.67</v>
      </c>
      <c r="AE31" s="9">
        <v>8.048</v>
      </c>
      <c r="AF31" s="9">
        <v>0.42996607852882707</v>
      </c>
      <c r="AG31" s="88">
        <f t="shared" si="6"/>
        <v>0.10381101</v>
      </c>
      <c r="AH31" s="54">
        <f t="shared" si="7"/>
        <v>0.34603670000000003</v>
      </c>
      <c r="AI31" s="90">
        <f t="shared" si="8"/>
        <v>78.05209357530255</v>
      </c>
      <c r="AJ31" s="73">
        <f t="shared" si="9"/>
        <v>1.5081251978956747</v>
      </c>
      <c r="AK31" s="90">
        <f t="shared" si="10"/>
        <v>89.971188990454863</v>
      </c>
      <c r="AL31" s="72">
        <f t="shared" si="11"/>
        <v>13.495678348568228</v>
      </c>
      <c r="AM31" s="88">
        <f t="shared" si="15"/>
        <v>0.84959283308264444</v>
      </c>
      <c r="AN31" s="91">
        <f t="shared" si="16"/>
        <v>5.3586175694136307</v>
      </c>
      <c r="AU31" s="2"/>
      <c r="AV31" s="2"/>
      <c r="AW31" s="115">
        <v>0.70810277109037467</v>
      </c>
      <c r="AX31" s="115">
        <v>3.2127787303623472</v>
      </c>
      <c r="AY31" s="2"/>
      <c r="AZ31" s="2"/>
      <c r="BA31" s="2"/>
      <c r="BC31" s="2"/>
      <c r="BD31" s="2"/>
    </row>
    <row r="32" spans="1:56" x14ac:dyDescent="0.2">
      <c r="A32" s="32">
        <v>18</v>
      </c>
      <c r="B32" s="32" t="s">
        <v>120</v>
      </c>
      <c r="C32" s="32"/>
      <c r="D32" s="33">
        <v>3</v>
      </c>
      <c r="E32" s="34">
        <v>4</v>
      </c>
      <c r="F32" s="33" t="s">
        <v>91</v>
      </c>
      <c r="G32" s="33" t="s">
        <v>115</v>
      </c>
      <c r="H32">
        <v>18</v>
      </c>
      <c r="I32">
        <v>1</v>
      </c>
      <c r="J32" s="1">
        <v>39</v>
      </c>
      <c r="K32" s="1">
        <v>1</v>
      </c>
      <c r="L32" s="1">
        <v>47</v>
      </c>
      <c r="M32" s="1">
        <v>7</v>
      </c>
      <c r="N32" s="1">
        <v>44</v>
      </c>
      <c r="O32" s="51">
        <f t="shared" si="0"/>
        <v>-12.079999999999998</v>
      </c>
      <c r="P32" s="1">
        <v>51</v>
      </c>
      <c r="Q32" s="49">
        <f t="shared" si="14"/>
        <v>31</v>
      </c>
      <c r="R32" s="1">
        <v>563.80999999999995</v>
      </c>
      <c r="S32" s="1">
        <v>323.8</v>
      </c>
      <c r="T32" s="48">
        <v>0.18609953703703705</v>
      </c>
      <c r="U32" t="s">
        <v>162</v>
      </c>
      <c r="W32" s="29">
        <v>19</v>
      </c>
      <c r="X32" s="29">
        <v>0</v>
      </c>
      <c r="Y32" s="29">
        <v>-20</v>
      </c>
      <c r="AA32" s="88">
        <f t="shared" si="2"/>
        <v>6.0426666666666664</v>
      </c>
      <c r="AB32" s="40">
        <f t="shared" si="3"/>
        <v>-1.6589866666666666</v>
      </c>
      <c r="AC32" s="88">
        <f t="shared" si="4"/>
        <v>11.9085</v>
      </c>
      <c r="AD32" s="9">
        <f t="shared" si="5"/>
        <v>7.2385000000000002</v>
      </c>
      <c r="AE32" s="9">
        <v>8.0399999999999991</v>
      </c>
      <c r="AF32" s="9">
        <v>0.52424962686567156</v>
      </c>
      <c r="AG32" s="88">
        <f t="shared" si="6"/>
        <v>0.12644900999999997</v>
      </c>
      <c r="AH32" s="54">
        <f t="shared" si="7"/>
        <v>0.42149669999999989</v>
      </c>
      <c r="AI32" s="90">
        <f t="shared" si="8"/>
        <v>47.787378221993734</v>
      </c>
      <c r="AJ32" s="73">
        <f t="shared" si="9"/>
        <v>-3.9359422426478474</v>
      </c>
      <c r="AK32" s="90">
        <f t="shared" si="10"/>
        <v>94.176300787171073</v>
      </c>
      <c r="AL32" s="72">
        <f t="shared" si="11"/>
        <v>17.173325437660608</v>
      </c>
      <c r="AM32" s="88">
        <f t="shared" si="15"/>
        <v>0.52016303713936796</v>
      </c>
      <c r="AN32" s="91">
        <f t="shared" si="16"/>
        <v>5.6090709224044719</v>
      </c>
      <c r="AX32" s="120"/>
      <c r="AY32" s="121"/>
      <c r="AZ32" s="121"/>
      <c r="BA32" s="121"/>
      <c r="BB32" s="116"/>
      <c r="BC32" s="2"/>
      <c r="BD32" s="2"/>
    </row>
    <row r="33" spans="1:56" x14ac:dyDescent="0.2">
      <c r="A33" s="32">
        <v>18</v>
      </c>
      <c r="B33" s="32" t="s">
        <v>116</v>
      </c>
      <c r="C33" s="32"/>
      <c r="D33" s="33">
        <v>3</v>
      </c>
      <c r="E33" s="34">
        <v>4</v>
      </c>
      <c r="F33" s="33" t="s">
        <v>100</v>
      </c>
      <c r="G33" s="33" t="s">
        <v>117</v>
      </c>
      <c r="I33">
        <v>2</v>
      </c>
      <c r="J33" s="1">
        <v>40</v>
      </c>
      <c r="K33" s="1">
        <v>1</v>
      </c>
      <c r="L33" s="1">
        <v>63</v>
      </c>
      <c r="M33" s="1">
        <v>3</v>
      </c>
      <c r="N33" s="1">
        <v>71</v>
      </c>
      <c r="O33" s="51">
        <f t="shared" si="0"/>
        <v>19</v>
      </c>
      <c r="P33" s="1">
        <v>0</v>
      </c>
      <c r="Q33" s="49">
        <f t="shared" si="14"/>
        <v>-20</v>
      </c>
      <c r="R33" s="1">
        <v>480.45</v>
      </c>
      <c r="S33" s="1">
        <v>336.17</v>
      </c>
      <c r="T33" s="48">
        <v>0.18770833333333334</v>
      </c>
      <c r="U33" t="s">
        <v>162</v>
      </c>
      <c r="W33" s="29">
        <v>-12.079999999999998</v>
      </c>
      <c r="X33" s="29">
        <v>51</v>
      </c>
      <c r="Y33" s="29">
        <v>31</v>
      </c>
      <c r="AA33" s="88">
        <f t="shared" si="2"/>
        <v>9.7506666666666657</v>
      </c>
      <c r="AB33" s="40">
        <f t="shared" si="3"/>
        <v>2.6093333333333333</v>
      </c>
      <c r="AC33" s="88">
        <f t="shared" si="4"/>
        <v>0</v>
      </c>
      <c r="AD33" s="9">
        <f t="shared" si="5"/>
        <v>-4.67</v>
      </c>
      <c r="AE33" s="9">
        <v>8.02</v>
      </c>
      <c r="AF33" s="9">
        <v>0.28911059850374066</v>
      </c>
      <c r="AG33" s="88">
        <f t="shared" si="6"/>
        <v>6.9560009999999992E-2</v>
      </c>
      <c r="AH33" s="54">
        <f t="shared" si="7"/>
        <v>0.23186670000000001</v>
      </c>
      <c r="AI33" s="90">
        <f t="shared" si="8"/>
        <v>140.17632640746697</v>
      </c>
      <c r="AJ33" s="73">
        <f t="shared" si="9"/>
        <v>11.253592401726221</v>
      </c>
      <c r="AK33" s="90">
        <f t="shared" si="10"/>
        <v>0</v>
      </c>
      <c r="AL33" s="72">
        <f t="shared" si="11"/>
        <v>-20.140882670948436</v>
      </c>
      <c r="AM33" s="88">
        <f t="shared" si="15"/>
        <v>1.5258117601770651</v>
      </c>
      <c r="AN33" s="91">
        <f t="shared" si="16"/>
        <v>0</v>
      </c>
      <c r="BB33" s="2"/>
      <c r="BC33" s="2"/>
      <c r="BD33" s="2"/>
    </row>
    <row r="34" spans="1:56" s="32" customFormat="1" x14ac:dyDescent="0.2">
      <c r="A34" s="32">
        <v>25</v>
      </c>
      <c r="B34" s="32" t="s">
        <v>120</v>
      </c>
      <c r="D34" s="33">
        <v>4</v>
      </c>
      <c r="E34" s="34">
        <v>4</v>
      </c>
      <c r="F34" s="33" t="s">
        <v>91</v>
      </c>
      <c r="G34" s="33" t="s">
        <v>115</v>
      </c>
      <c r="H34" s="32">
        <v>25</v>
      </c>
      <c r="I34" s="32">
        <v>1</v>
      </c>
      <c r="J34" s="67">
        <v>55</v>
      </c>
      <c r="K34" s="67">
        <v>1</v>
      </c>
      <c r="L34" s="67">
        <v>59</v>
      </c>
      <c r="M34" s="67">
        <v>6</v>
      </c>
      <c r="N34" s="67">
        <v>61</v>
      </c>
      <c r="O34" s="92">
        <f t="shared" si="0"/>
        <v>7.0799999999999983</v>
      </c>
      <c r="P34" s="67">
        <v>24</v>
      </c>
      <c r="Q34" s="93">
        <f t="shared" si="14"/>
        <v>4</v>
      </c>
      <c r="R34" s="67">
        <v>921.36</v>
      </c>
      <c r="S34" s="67">
        <v>332.3</v>
      </c>
      <c r="T34" s="94">
        <v>0.21184027777777778</v>
      </c>
      <c r="U34" s="32" t="s">
        <v>162</v>
      </c>
      <c r="W34" s="34">
        <v>-16.04</v>
      </c>
      <c r="X34" s="34">
        <v>88</v>
      </c>
      <c r="Y34" s="34">
        <v>68</v>
      </c>
      <c r="AA34" s="95">
        <f t="shared" si="2"/>
        <v>8.3773333333333326</v>
      </c>
      <c r="AB34" s="74">
        <f t="shared" si="3"/>
        <v>0.97231999999999974</v>
      </c>
      <c r="AC34" s="95">
        <f t="shared" si="4"/>
        <v>5.6040000000000001</v>
      </c>
      <c r="AD34" s="42">
        <f t="shared" si="5"/>
        <v>0.93399999999999994</v>
      </c>
      <c r="AE34" s="42">
        <v>7.96</v>
      </c>
      <c r="AF34" s="42">
        <v>0.48301092964824122</v>
      </c>
      <c r="AG34" s="95">
        <f t="shared" si="6"/>
        <v>0.11534301</v>
      </c>
      <c r="AH34" s="96">
        <f t="shared" si="7"/>
        <v>0.3844767</v>
      </c>
      <c r="AI34" s="97">
        <f t="shared" si="8"/>
        <v>72.629744388787259</v>
      </c>
      <c r="AJ34" s="98">
        <f t="shared" si="9"/>
        <v>2.5289438865866245</v>
      </c>
      <c r="AK34" s="97">
        <f t="shared" si="10"/>
        <v>48.585518966428914</v>
      </c>
      <c r="AL34" s="39">
        <f t="shared" si="11"/>
        <v>2.4292759483214454</v>
      </c>
      <c r="AM34" s="95">
        <f t="shared" si="15"/>
        <v>0.79057085434622032</v>
      </c>
      <c r="AN34" s="99">
        <f t="shared" si="16"/>
        <v>2.8937176275419243</v>
      </c>
      <c r="BB34" s="2"/>
    </row>
    <row r="35" spans="1:56" s="25" customFormat="1" x14ac:dyDescent="0.2">
      <c r="A35" s="25">
        <v>25</v>
      </c>
      <c r="B35" s="25" t="s">
        <v>116</v>
      </c>
      <c r="D35" s="26">
        <v>4</v>
      </c>
      <c r="E35" s="43">
        <v>4</v>
      </c>
      <c r="F35" s="26" t="s">
        <v>100</v>
      </c>
      <c r="G35" s="26" t="s">
        <v>117</v>
      </c>
      <c r="I35" s="25">
        <v>2</v>
      </c>
      <c r="J35" s="44">
        <v>56</v>
      </c>
      <c r="K35" s="44">
        <v>1</v>
      </c>
      <c r="L35" s="44">
        <v>51</v>
      </c>
      <c r="M35" s="44">
        <v>10</v>
      </c>
      <c r="N35" s="44">
        <v>43</v>
      </c>
      <c r="O35" s="100">
        <f t="shared" si="0"/>
        <v>-16.04</v>
      </c>
      <c r="P35" s="44">
        <v>88</v>
      </c>
      <c r="Q35" s="101">
        <f t="shared" si="14"/>
        <v>68</v>
      </c>
      <c r="R35" s="44">
        <v>591.41999999999996</v>
      </c>
      <c r="S35" s="44">
        <v>324.04000000000002</v>
      </c>
      <c r="T35" s="102">
        <v>0.21342592592592591</v>
      </c>
      <c r="U35" s="25" t="s">
        <v>162</v>
      </c>
      <c r="W35" s="43">
        <v>7.0799999999999983</v>
      </c>
      <c r="X35" s="43">
        <v>24</v>
      </c>
      <c r="Y35" s="43">
        <v>4</v>
      </c>
      <c r="AA35" s="103">
        <f t="shared" si="2"/>
        <v>5.9053333333333331</v>
      </c>
      <c r="AB35" s="104">
        <f t="shared" si="3"/>
        <v>-2.2028266666666667</v>
      </c>
      <c r="AC35" s="103">
        <f t="shared" si="4"/>
        <v>20.547999999999998</v>
      </c>
      <c r="AD35" s="46">
        <f t="shared" si="5"/>
        <v>15.877999999999998</v>
      </c>
      <c r="AE35" s="46">
        <v>8.0519999999999996</v>
      </c>
      <c r="AF35" s="46">
        <v>0.37240027322404373</v>
      </c>
      <c r="AG35" s="103">
        <f t="shared" si="6"/>
        <v>8.9957010000000004E-2</v>
      </c>
      <c r="AH35" s="105">
        <f t="shared" si="7"/>
        <v>0.29985669999999998</v>
      </c>
      <c r="AI35" s="106">
        <f t="shared" si="8"/>
        <v>65.646171802879323</v>
      </c>
      <c r="AJ35" s="107">
        <f t="shared" si="9"/>
        <v>-7.3462646212896594</v>
      </c>
      <c r="AK35" s="106">
        <f t="shared" si="10"/>
        <v>228.42021983611946</v>
      </c>
      <c r="AL35" s="108">
        <f t="shared" si="11"/>
        <v>52.951960052918608</v>
      </c>
      <c r="AM35" s="103">
        <f t="shared" si="15"/>
        <v>0.71455504302687844</v>
      </c>
      <c r="AN35" s="109">
        <f t="shared" si="16"/>
        <v>13.604539597148271</v>
      </c>
      <c r="BB35" s="2"/>
    </row>
    <row r="36" spans="1:56" x14ac:dyDescent="0.2">
      <c r="A36" s="32">
        <v>5</v>
      </c>
      <c r="B36" s="32" t="s">
        <v>121</v>
      </c>
      <c r="C36" s="32"/>
      <c r="D36" s="33">
        <v>1</v>
      </c>
      <c r="E36" s="34">
        <v>5</v>
      </c>
      <c r="F36" s="33" t="s">
        <v>100</v>
      </c>
      <c r="G36" s="33" t="s">
        <v>117</v>
      </c>
      <c r="H36">
        <v>5</v>
      </c>
      <c r="I36">
        <v>1</v>
      </c>
      <c r="J36" s="1">
        <v>9</v>
      </c>
      <c r="K36" s="1">
        <v>1</v>
      </c>
      <c r="L36" s="1">
        <v>49</v>
      </c>
      <c r="M36" s="1">
        <v>7</v>
      </c>
      <c r="N36" s="1">
        <v>46</v>
      </c>
      <c r="O36" s="51">
        <f t="shared" ref="O36:O59" si="18">(N36-(0.08*P36))-52</f>
        <v>-9.9200000000000017</v>
      </c>
      <c r="P36" s="1">
        <v>49</v>
      </c>
      <c r="Q36" s="49">
        <f t="shared" si="14"/>
        <v>29</v>
      </c>
      <c r="R36" s="1">
        <v>550.61</v>
      </c>
      <c r="S36" s="1">
        <v>327.37</v>
      </c>
      <c r="T36" s="48">
        <v>0.13787037037037037</v>
      </c>
      <c r="U36" t="s">
        <v>162</v>
      </c>
      <c r="W36" s="29">
        <v>212.39999999999998</v>
      </c>
      <c r="X36" s="29">
        <v>45</v>
      </c>
      <c r="Y36" s="29">
        <v>25</v>
      </c>
      <c r="AA36" s="88">
        <f t="shared" ref="AA36:AA59" si="19">8.24*N36/60</f>
        <v>6.3173333333333339</v>
      </c>
      <c r="AB36" s="40">
        <f t="shared" ref="AB36:AB59" si="20">8.24*O36/60</f>
        <v>-1.362346666666667</v>
      </c>
      <c r="AC36" s="88">
        <f t="shared" ref="AC36:AC59" si="21">14.01*P36/60</f>
        <v>11.4415</v>
      </c>
      <c r="AD36" s="9">
        <f t="shared" ref="AD36:AD59" si="22">14.01*Q36/60</f>
        <v>6.7715000000000005</v>
      </c>
      <c r="AE36" s="9">
        <v>8.0679999999999996</v>
      </c>
      <c r="AF36" s="9">
        <v>0.301904685176004</v>
      </c>
      <c r="AG36" s="88">
        <f t="shared" ref="AG36:AG59" si="23">(AE36*3*AF36)/100</f>
        <v>7.3073010000000008E-2</v>
      </c>
      <c r="AH36" s="54">
        <f t="shared" ref="AH36:AH59" si="24">AE36*AF36/10</f>
        <v>0.24357670000000003</v>
      </c>
      <c r="AI36" s="90">
        <f t="shared" ref="AI36:AI59" si="25">AA36/AG36</f>
        <v>86.452348594006637</v>
      </c>
      <c r="AJ36" s="73">
        <f t="shared" ref="AJ36:AJ59" si="26">AB36/AH36</f>
        <v>-5.5930910742557352</v>
      </c>
      <c r="AK36" s="90">
        <f t="shared" ref="AK36:AK59" si="27">AC36/AG36</f>
        <v>156.57627898453887</v>
      </c>
      <c r="AL36" s="72">
        <f t="shared" ref="AL36:AL59" si="28">AD36/AH36</f>
        <v>27.800278105418126</v>
      </c>
      <c r="AM36" s="88">
        <f t="shared" si="15"/>
        <v>0.94102915635143825</v>
      </c>
      <c r="AN36" s="91">
        <f t="shared" si="16"/>
        <v>9.3255675392816482</v>
      </c>
      <c r="AO36" s="56">
        <f>AVERAGE(AM36:AM43)</f>
        <v>1.7065516283009963</v>
      </c>
      <c r="AP36" s="113">
        <f>AVERAGE(AN36:AN43)</f>
        <v>6.41610818169063</v>
      </c>
      <c r="AU36" s="119"/>
      <c r="AV36" s="119"/>
      <c r="AW36" s="119"/>
    </row>
    <row r="37" spans="1:56" x14ac:dyDescent="0.2">
      <c r="A37" s="32">
        <v>5</v>
      </c>
      <c r="B37" s="32" t="s">
        <v>122</v>
      </c>
      <c r="C37" s="32"/>
      <c r="D37" s="33">
        <v>1</v>
      </c>
      <c r="E37" s="34">
        <v>5</v>
      </c>
      <c r="F37" s="33" t="s">
        <v>100</v>
      </c>
      <c r="G37" s="33" t="s">
        <v>117</v>
      </c>
      <c r="I37">
        <v>2</v>
      </c>
      <c r="J37" s="1">
        <v>10</v>
      </c>
      <c r="K37" s="1">
        <v>1</v>
      </c>
      <c r="L37" s="1">
        <v>253</v>
      </c>
      <c r="M37" s="1">
        <v>21</v>
      </c>
      <c r="N37" s="1">
        <v>268</v>
      </c>
      <c r="O37" s="51">
        <f t="shared" si="18"/>
        <v>212.39999999999998</v>
      </c>
      <c r="P37" s="1">
        <v>45</v>
      </c>
      <c r="Q37" s="49">
        <f t="shared" si="14"/>
        <v>25</v>
      </c>
      <c r="R37" s="1">
        <v>284.02999999999997</v>
      </c>
      <c r="S37" s="1">
        <v>319.82</v>
      </c>
      <c r="T37" s="48">
        <v>0.13947916666666668</v>
      </c>
      <c r="U37" t="s">
        <v>162</v>
      </c>
      <c r="W37" s="29">
        <v>-9.9200000000000017</v>
      </c>
      <c r="X37" s="29">
        <v>49</v>
      </c>
      <c r="Y37" s="29">
        <v>29</v>
      </c>
      <c r="AA37" s="88">
        <f t="shared" si="19"/>
        <v>36.805333333333337</v>
      </c>
      <c r="AB37" s="40">
        <f t="shared" si="20"/>
        <v>29.169599999999999</v>
      </c>
      <c r="AC37" s="88">
        <f t="shared" si="21"/>
        <v>10.5075</v>
      </c>
      <c r="AD37" s="9">
        <f t="shared" si="22"/>
        <v>5.8375000000000004</v>
      </c>
      <c r="AE37" s="9">
        <v>7.9720000000000004</v>
      </c>
      <c r="AF37" s="9">
        <v>0.35892711991971904</v>
      </c>
      <c r="AG37" s="88">
        <f t="shared" si="23"/>
        <v>8.5841010000000009E-2</v>
      </c>
      <c r="AH37" s="54">
        <f t="shared" si="24"/>
        <v>0.28613670000000002</v>
      </c>
      <c r="AI37" s="90">
        <f t="shared" si="25"/>
        <v>428.76165288984055</v>
      </c>
      <c r="AJ37" s="73">
        <f t="shared" si="26"/>
        <v>101.94288254530089</v>
      </c>
      <c r="AK37" s="90">
        <f t="shared" si="27"/>
        <v>122.406528068577</v>
      </c>
      <c r="AL37" s="72">
        <f t="shared" si="28"/>
        <v>20.401088011429501</v>
      </c>
      <c r="AM37" s="88">
        <f t="shared" si="15"/>
        <v>4.6670474898208401</v>
      </c>
      <c r="AN37" s="91">
        <f t="shared" si="16"/>
        <v>7.2904424102785592</v>
      </c>
      <c r="AO37" t="s">
        <v>332</v>
      </c>
    </row>
    <row r="38" spans="1:56" x14ac:dyDescent="0.2">
      <c r="A38" s="32">
        <v>12</v>
      </c>
      <c r="B38" s="32" t="s">
        <v>121</v>
      </c>
      <c r="C38" s="32"/>
      <c r="D38" s="33">
        <v>2</v>
      </c>
      <c r="E38" s="34">
        <v>5</v>
      </c>
      <c r="F38" s="33" t="s">
        <v>100</v>
      </c>
      <c r="G38" s="33" t="s">
        <v>117</v>
      </c>
      <c r="H38">
        <v>12</v>
      </c>
      <c r="I38">
        <v>1</v>
      </c>
      <c r="J38" s="1">
        <v>25</v>
      </c>
      <c r="K38" s="1">
        <v>1</v>
      </c>
      <c r="L38" s="1">
        <v>50</v>
      </c>
      <c r="M38" s="1">
        <v>5</v>
      </c>
      <c r="N38" s="1">
        <v>52</v>
      </c>
      <c r="O38" s="51">
        <f t="shared" si="18"/>
        <v>-1.3599999999999994</v>
      </c>
      <c r="P38" s="1">
        <v>17</v>
      </c>
      <c r="Q38" s="49">
        <f t="shared" si="14"/>
        <v>-3</v>
      </c>
      <c r="R38" s="1">
        <v>868.27</v>
      </c>
      <c r="S38" s="1">
        <v>329.43</v>
      </c>
      <c r="T38" s="48">
        <v>0.16359953703703703</v>
      </c>
      <c r="U38" t="s">
        <v>162</v>
      </c>
      <c r="W38" s="29">
        <v>89.32</v>
      </c>
      <c r="X38" s="29">
        <v>21</v>
      </c>
      <c r="Y38" s="29">
        <v>1</v>
      </c>
      <c r="AA38" s="88">
        <f t="shared" si="19"/>
        <v>7.1413333333333338</v>
      </c>
      <c r="AB38" s="40">
        <f t="shared" si="20"/>
        <v>-0.18677333333333326</v>
      </c>
      <c r="AC38" s="88">
        <f t="shared" si="21"/>
        <v>3.9694999999999996</v>
      </c>
      <c r="AD38" s="9">
        <f t="shared" si="22"/>
        <v>-0.70050000000000001</v>
      </c>
      <c r="AE38" s="9">
        <v>7.9879999999999995</v>
      </c>
      <c r="AF38" s="9">
        <v>0.30890923885828747</v>
      </c>
      <c r="AG38" s="88">
        <f t="shared" si="23"/>
        <v>7.4027010000000004E-2</v>
      </c>
      <c r="AH38" s="54">
        <f t="shared" si="24"/>
        <v>0.24675670000000002</v>
      </c>
      <c r="AI38" s="90">
        <f t="shared" si="25"/>
        <v>96.469293212481944</v>
      </c>
      <c r="AJ38" s="73">
        <f t="shared" si="26"/>
        <v>-0.75691291597485799</v>
      </c>
      <c r="AK38" s="90">
        <f t="shared" si="27"/>
        <v>53.622319745184889</v>
      </c>
      <c r="AL38" s="72">
        <f t="shared" si="28"/>
        <v>-2.8388286923921413</v>
      </c>
      <c r="AM38" s="88">
        <f t="shared" si="15"/>
        <v>1.0500630588057249</v>
      </c>
      <c r="AN38" s="91">
        <f t="shared" si="16"/>
        <v>3.1937057620717622</v>
      </c>
    </row>
    <row r="39" spans="1:56" x14ac:dyDescent="0.2">
      <c r="A39" s="32">
        <v>12</v>
      </c>
      <c r="B39" s="32" t="s">
        <v>122</v>
      </c>
      <c r="C39" s="32"/>
      <c r="D39" s="33">
        <v>2</v>
      </c>
      <c r="E39" s="34">
        <v>5</v>
      </c>
      <c r="F39" s="33" t="s">
        <v>100</v>
      </c>
      <c r="G39" s="33" t="s">
        <v>117</v>
      </c>
      <c r="I39">
        <v>2</v>
      </c>
      <c r="J39" s="1">
        <v>26</v>
      </c>
      <c r="K39" s="1">
        <v>1</v>
      </c>
      <c r="L39" s="1">
        <v>135</v>
      </c>
      <c r="M39" s="1">
        <v>11</v>
      </c>
      <c r="N39" s="1">
        <v>143</v>
      </c>
      <c r="O39" s="51">
        <f t="shared" si="18"/>
        <v>89.32</v>
      </c>
      <c r="P39" s="1">
        <v>21</v>
      </c>
      <c r="Q39" s="49">
        <f t="shared" si="14"/>
        <v>1</v>
      </c>
      <c r="R39" s="1">
        <v>549.12</v>
      </c>
      <c r="S39" s="1">
        <v>327.68</v>
      </c>
      <c r="T39" s="48">
        <v>0.16519675925925925</v>
      </c>
      <c r="U39" t="s">
        <v>162</v>
      </c>
      <c r="W39" s="29">
        <v>-1.3599999999999994</v>
      </c>
      <c r="X39" s="29">
        <v>17</v>
      </c>
      <c r="Y39" s="29">
        <v>-3</v>
      </c>
      <c r="AA39" s="88">
        <f t="shared" si="19"/>
        <v>19.638666666666666</v>
      </c>
      <c r="AB39" s="40">
        <f t="shared" si="20"/>
        <v>12.266613333333334</v>
      </c>
      <c r="AC39" s="88">
        <f t="shared" si="21"/>
        <v>4.9034999999999993</v>
      </c>
      <c r="AD39" s="9">
        <f t="shared" si="22"/>
        <v>0.23349999999999999</v>
      </c>
      <c r="AE39" s="9">
        <v>7.968</v>
      </c>
      <c r="AF39" s="9">
        <v>0.36942356927710851</v>
      </c>
      <c r="AG39" s="88">
        <f t="shared" si="23"/>
        <v>8.8307010000000019E-2</v>
      </c>
      <c r="AH39" s="54">
        <f t="shared" si="24"/>
        <v>0.29435670000000008</v>
      </c>
      <c r="AI39" s="90">
        <f t="shared" si="25"/>
        <v>222.39080076051337</v>
      </c>
      <c r="AJ39" s="73">
        <f t="shared" si="26"/>
        <v>41.672614665585428</v>
      </c>
      <c r="AK39" s="90">
        <f t="shared" si="27"/>
        <v>55.527868059398664</v>
      </c>
      <c r="AL39" s="72">
        <f t="shared" si="28"/>
        <v>0.7932552579914095</v>
      </c>
      <c r="AM39" s="88">
        <f t="shared" si="15"/>
        <v>2.4207118837543633</v>
      </c>
      <c r="AN39" s="91">
        <f t="shared" si="16"/>
        <v>3.3071988123525111</v>
      </c>
    </row>
    <row r="40" spans="1:56" x14ac:dyDescent="0.2">
      <c r="A40" s="32">
        <v>19</v>
      </c>
      <c r="B40" s="32" t="s">
        <v>121</v>
      </c>
      <c r="C40" s="32"/>
      <c r="D40" s="33">
        <v>3</v>
      </c>
      <c r="E40" s="34">
        <v>5</v>
      </c>
      <c r="F40" s="33" t="s">
        <v>100</v>
      </c>
      <c r="G40" s="33" t="s">
        <v>117</v>
      </c>
      <c r="H40">
        <v>19</v>
      </c>
      <c r="I40">
        <v>1</v>
      </c>
      <c r="J40" s="1">
        <v>41</v>
      </c>
      <c r="K40" s="1">
        <v>1</v>
      </c>
      <c r="L40" s="1">
        <v>64</v>
      </c>
      <c r="M40" s="1">
        <v>7</v>
      </c>
      <c r="N40" s="1">
        <v>65</v>
      </c>
      <c r="O40" s="51">
        <f t="shared" si="18"/>
        <v>10.280000000000001</v>
      </c>
      <c r="P40" s="1">
        <v>34</v>
      </c>
      <c r="Q40" s="49">
        <f t="shared" si="14"/>
        <v>14</v>
      </c>
      <c r="R40" s="1">
        <v>723.07</v>
      </c>
      <c r="S40" s="1">
        <v>330.32</v>
      </c>
      <c r="T40" s="48">
        <v>0.18929398148148149</v>
      </c>
      <c r="U40" t="s">
        <v>162</v>
      </c>
      <c r="W40" s="29">
        <v>-13.920000000000002</v>
      </c>
      <c r="X40" s="29">
        <v>74</v>
      </c>
      <c r="Y40" s="29">
        <v>54</v>
      </c>
      <c r="AA40" s="88">
        <f t="shared" si="19"/>
        <v>8.9266666666666676</v>
      </c>
      <c r="AB40" s="40">
        <f t="shared" si="20"/>
        <v>1.411786666666667</v>
      </c>
      <c r="AC40" s="88">
        <f t="shared" si="21"/>
        <v>7.9389999999999992</v>
      </c>
      <c r="AD40" s="9">
        <f t="shared" si="22"/>
        <v>3.2689999999999997</v>
      </c>
      <c r="AE40" s="9">
        <v>7.984</v>
      </c>
      <c r="AF40" s="9">
        <v>0.25766119739478965</v>
      </c>
      <c r="AG40" s="88">
        <f t="shared" si="23"/>
        <v>6.1715010000000008E-2</v>
      </c>
      <c r="AH40" s="54">
        <f t="shared" si="24"/>
        <v>0.20571670000000006</v>
      </c>
      <c r="AI40" s="90">
        <f t="shared" si="25"/>
        <v>144.64336417780157</v>
      </c>
      <c r="AJ40" s="73">
        <f t="shared" si="26"/>
        <v>6.8627713096052316</v>
      </c>
      <c r="AK40" s="90">
        <f t="shared" si="27"/>
        <v>128.6396939739619</v>
      </c>
      <c r="AL40" s="72">
        <f t="shared" si="28"/>
        <v>15.890785726195292</v>
      </c>
      <c r="AM40" s="88">
        <f t="shared" si="15"/>
        <v>1.5744352256210032</v>
      </c>
      <c r="AN40" s="91">
        <f t="shared" si="16"/>
        <v>7.6616851681930846</v>
      </c>
    </row>
    <row r="41" spans="1:56" x14ac:dyDescent="0.2">
      <c r="A41" s="32">
        <v>19</v>
      </c>
      <c r="B41" s="32" t="s">
        <v>122</v>
      </c>
      <c r="C41" s="32"/>
      <c r="D41" s="33">
        <v>3</v>
      </c>
      <c r="E41" s="34">
        <v>5</v>
      </c>
      <c r="F41" s="33" t="s">
        <v>100</v>
      </c>
      <c r="G41" s="33" t="s">
        <v>117</v>
      </c>
      <c r="I41">
        <v>2</v>
      </c>
      <c r="J41" s="1">
        <v>42</v>
      </c>
      <c r="K41" s="1">
        <v>1</v>
      </c>
      <c r="L41" s="1">
        <v>50</v>
      </c>
      <c r="M41" s="1">
        <v>9</v>
      </c>
      <c r="N41" s="1">
        <v>44</v>
      </c>
      <c r="O41" s="51">
        <f t="shared" si="18"/>
        <v>-13.920000000000002</v>
      </c>
      <c r="P41" s="1">
        <v>74</v>
      </c>
      <c r="Q41" s="49">
        <f t="shared" si="14"/>
        <v>54</v>
      </c>
      <c r="R41" s="1">
        <v>819.3</v>
      </c>
      <c r="S41" s="1">
        <v>333.44</v>
      </c>
      <c r="T41" s="48">
        <v>0.19090277777777778</v>
      </c>
      <c r="U41" t="s">
        <v>162</v>
      </c>
      <c r="W41" s="29">
        <v>10.280000000000001</v>
      </c>
      <c r="X41" s="29">
        <v>34</v>
      </c>
      <c r="Y41" s="29">
        <v>14</v>
      </c>
      <c r="AA41" s="88">
        <f t="shared" si="19"/>
        <v>6.0426666666666664</v>
      </c>
      <c r="AB41" s="40">
        <f t="shared" si="20"/>
        <v>-1.9116800000000003</v>
      </c>
      <c r="AC41" s="88">
        <f t="shared" si="21"/>
        <v>17.279</v>
      </c>
      <c r="AD41" s="9">
        <f t="shared" si="22"/>
        <v>12.609</v>
      </c>
      <c r="AE41" s="9">
        <v>8.072000000000001</v>
      </c>
      <c r="AF41" s="9">
        <v>0.30827143211100094</v>
      </c>
      <c r="AG41" s="88">
        <f t="shared" si="23"/>
        <v>7.465100999999999E-2</v>
      </c>
      <c r="AH41" s="54">
        <f t="shared" si="24"/>
        <v>0.24883669999999997</v>
      </c>
      <c r="AI41" s="90">
        <f t="shared" si="25"/>
        <v>80.945544697475185</v>
      </c>
      <c r="AJ41" s="73">
        <f t="shared" si="26"/>
        <v>-7.6824680603785556</v>
      </c>
      <c r="AK41" s="90">
        <f t="shared" si="27"/>
        <v>231.46371361887805</v>
      </c>
      <c r="AL41" s="72">
        <f t="shared" si="28"/>
        <v>50.671785954403035</v>
      </c>
      <c r="AM41" s="88">
        <f t="shared" si="15"/>
        <v>0.88108789264694876</v>
      </c>
      <c r="AN41" s="91">
        <f t="shared" si="16"/>
        <v>13.785807839123171</v>
      </c>
    </row>
    <row r="42" spans="1:56" s="32" customFormat="1" x14ac:dyDescent="0.2">
      <c r="A42" s="32">
        <v>26</v>
      </c>
      <c r="B42" s="32" t="s">
        <v>121</v>
      </c>
      <c r="D42" s="33">
        <v>4</v>
      </c>
      <c r="E42" s="34">
        <v>5</v>
      </c>
      <c r="F42" s="33" t="s">
        <v>100</v>
      </c>
      <c r="G42" s="33" t="s">
        <v>117</v>
      </c>
      <c r="H42" s="32">
        <v>26</v>
      </c>
      <c r="I42" s="32">
        <v>1</v>
      </c>
      <c r="J42" s="67">
        <v>57</v>
      </c>
      <c r="K42" s="67">
        <v>1</v>
      </c>
      <c r="L42" s="67">
        <v>52</v>
      </c>
      <c r="M42" s="67">
        <v>5</v>
      </c>
      <c r="N42" s="67">
        <v>54</v>
      </c>
      <c r="O42" s="92">
        <f t="shared" si="18"/>
        <v>0.56000000000000227</v>
      </c>
      <c r="P42" s="67">
        <v>18</v>
      </c>
      <c r="Q42" s="93">
        <f t="shared" si="14"/>
        <v>-2</v>
      </c>
      <c r="R42" s="67">
        <v>696.2</v>
      </c>
      <c r="S42" s="67">
        <v>328.8</v>
      </c>
      <c r="T42" s="94">
        <v>0.21504629629629632</v>
      </c>
      <c r="U42" s="32" t="s">
        <v>162</v>
      </c>
      <c r="W42" s="34">
        <v>-8.2800000000000011</v>
      </c>
      <c r="X42" s="34">
        <v>16</v>
      </c>
      <c r="Y42" s="34">
        <v>-4</v>
      </c>
      <c r="AA42" s="95">
        <f t="shared" si="19"/>
        <v>7.4160000000000004</v>
      </c>
      <c r="AB42" s="74">
        <f t="shared" si="20"/>
        <v>7.690666666666697E-2</v>
      </c>
      <c r="AC42" s="95">
        <f t="shared" si="21"/>
        <v>4.2030000000000003</v>
      </c>
      <c r="AD42" s="42">
        <f t="shared" si="22"/>
        <v>-0.46699999999999997</v>
      </c>
      <c r="AE42" s="42">
        <v>7.96</v>
      </c>
      <c r="AF42" s="42">
        <v>0.28922952261306534</v>
      </c>
      <c r="AG42" s="95">
        <f t="shared" si="23"/>
        <v>6.9068009999999999E-2</v>
      </c>
      <c r="AH42" s="96">
        <f t="shared" si="24"/>
        <v>0.23022670000000001</v>
      </c>
      <c r="AI42" s="97">
        <f t="shared" si="25"/>
        <v>107.37242900150157</v>
      </c>
      <c r="AJ42" s="98">
        <f t="shared" si="26"/>
        <v>0.33404755689356175</v>
      </c>
      <c r="AK42" s="97">
        <f t="shared" si="27"/>
        <v>60.853063523909263</v>
      </c>
      <c r="AL42" s="39">
        <f t="shared" si="28"/>
        <v>-2.0284354507969753</v>
      </c>
      <c r="AM42" s="95">
        <f t="shared" si="15"/>
        <v>1.1687431044029779</v>
      </c>
      <c r="AN42" s="99">
        <f t="shared" si="16"/>
        <v>3.6243635213763703</v>
      </c>
    </row>
    <row r="43" spans="1:56" s="25" customFormat="1" x14ac:dyDescent="0.2">
      <c r="A43" s="25">
        <v>26</v>
      </c>
      <c r="B43" s="25" t="s">
        <v>122</v>
      </c>
      <c r="D43" s="26">
        <v>4</v>
      </c>
      <c r="E43" s="43">
        <v>5</v>
      </c>
      <c r="F43" s="26" t="s">
        <v>100</v>
      </c>
      <c r="G43" s="26" t="s">
        <v>117</v>
      </c>
      <c r="I43" s="25">
        <v>2</v>
      </c>
      <c r="J43" s="44">
        <v>58</v>
      </c>
      <c r="K43" s="44">
        <v>1</v>
      </c>
      <c r="L43" s="44">
        <v>44</v>
      </c>
      <c r="M43" s="44">
        <v>4</v>
      </c>
      <c r="N43" s="44">
        <v>45</v>
      </c>
      <c r="O43" s="100">
        <f t="shared" si="18"/>
        <v>-8.2800000000000011</v>
      </c>
      <c r="P43" s="44">
        <v>16</v>
      </c>
      <c r="Q43" s="101">
        <f t="shared" si="14"/>
        <v>-4</v>
      </c>
      <c r="R43" s="44">
        <v>722.16</v>
      </c>
      <c r="S43" s="44">
        <v>327.74</v>
      </c>
      <c r="T43" s="102">
        <v>0.21664351851851851</v>
      </c>
      <c r="U43" s="25" t="s">
        <v>162</v>
      </c>
      <c r="W43" s="43">
        <v>0.56000000000000227</v>
      </c>
      <c r="X43" s="43">
        <v>18</v>
      </c>
      <c r="Y43" s="43">
        <v>-2</v>
      </c>
      <c r="AA43" s="103">
        <f t="shared" si="19"/>
        <v>6.1800000000000006</v>
      </c>
      <c r="AB43" s="104">
        <f t="shared" si="20"/>
        <v>-1.1371200000000001</v>
      </c>
      <c r="AC43" s="103">
        <f t="shared" si="21"/>
        <v>3.7359999999999998</v>
      </c>
      <c r="AD43" s="46">
        <f t="shared" si="22"/>
        <v>-0.93399999999999994</v>
      </c>
      <c r="AE43" s="46">
        <v>8.0279999999999987</v>
      </c>
      <c r="AF43" s="46">
        <v>0.29422857498754362</v>
      </c>
      <c r="AG43" s="103">
        <f t="shared" si="23"/>
        <v>7.0862009999999989E-2</v>
      </c>
      <c r="AH43" s="105">
        <f t="shared" si="24"/>
        <v>0.23620669999999996</v>
      </c>
      <c r="AI43" s="106">
        <f t="shared" si="25"/>
        <v>87.211751402479294</v>
      </c>
      <c r="AJ43" s="107">
        <f t="shared" si="26"/>
        <v>-4.8140886774168568</v>
      </c>
      <c r="AK43" s="106">
        <f t="shared" si="27"/>
        <v>52.722184990236663</v>
      </c>
      <c r="AL43" s="108">
        <f t="shared" si="28"/>
        <v>-3.9541638742677496</v>
      </c>
      <c r="AM43" s="103">
        <f t="shared" si="15"/>
        <v>0.94929521500467295</v>
      </c>
      <c r="AN43" s="109">
        <f t="shared" si="16"/>
        <v>3.140094400847925</v>
      </c>
    </row>
    <row r="44" spans="1:56" x14ac:dyDescent="0.2">
      <c r="A44" s="32">
        <v>6</v>
      </c>
      <c r="B44" s="32" t="s">
        <v>123</v>
      </c>
      <c r="C44" s="32"/>
      <c r="D44" s="33">
        <v>1</v>
      </c>
      <c r="E44" s="34">
        <v>6</v>
      </c>
      <c r="F44" s="33" t="s">
        <v>91</v>
      </c>
      <c r="G44" s="33" t="s">
        <v>115</v>
      </c>
      <c r="H44">
        <v>6</v>
      </c>
      <c r="I44">
        <v>1</v>
      </c>
      <c r="J44" s="1">
        <v>11</v>
      </c>
      <c r="K44" s="1">
        <v>1</v>
      </c>
      <c r="L44" s="1">
        <v>81</v>
      </c>
      <c r="M44" s="1">
        <v>10</v>
      </c>
      <c r="N44" s="1">
        <v>79</v>
      </c>
      <c r="O44" s="51">
        <f t="shared" si="18"/>
        <v>21.959999999999994</v>
      </c>
      <c r="P44" s="1">
        <v>63</v>
      </c>
      <c r="Q44" s="49">
        <f t="shared" si="14"/>
        <v>43</v>
      </c>
      <c r="R44" s="1">
        <v>618.28</v>
      </c>
      <c r="S44" s="1">
        <v>327.68</v>
      </c>
      <c r="T44" s="48">
        <v>0.14108796296296297</v>
      </c>
      <c r="U44" t="s">
        <v>162</v>
      </c>
      <c r="W44" s="29">
        <v>194.96</v>
      </c>
      <c r="X44" s="29">
        <v>13</v>
      </c>
      <c r="Y44" s="29">
        <v>-7</v>
      </c>
      <c r="AA44" s="88">
        <f t="shared" si="19"/>
        <v>10.849333333333334</v>
      </c>
      <c r="AB44" s="40">
        <f t="shared" si="20"/>
        <v>3.015839999999999</v>
      </c>
      <c r="AC44" s="88">
        <f t="shared" si="21"/>
        <v>14.7105</v>
      </c>
      <c r="AD44" s="9">
        <f t="shared" si="22"/>
        <v>10.0405</v>
      </c>
      <c r="AE44" s="9">
        <v>8</v>
      </c>
      <c r="AF44" s="9">
        <v>0.56732087499999984</v>
      </c>
      <c r="AG44" s="88">
        <f t="shared" si="23"/>
        <v>0.13615700999999997</v>
      </c>
      <c r="AH44" s="54">
        <f t="shared" si="24"/>
        <v>0.45385669999999989</v>
      </c>
      <c r="AI44" s="90">
        <f t="shared" si="25"/>
        <v>79.682517509258886</v>
      </c>
      <c r="AJ44" s="73">
        <f t="shared" si="26"/>
        <v>6.6449167765949024</v>
      </c>
      <c r="AK44" s="90">
        <f t="shared" si="27"/>
        <v>108.04070976587987</v>
      </c>
      <c r="AL44" s="72">
        <f t="shared" si="28"/>
        <v>22.122621523489688</v>
      </c>
      <c r="AM44" s="88">
        <f t="shared" si="15"/>
        <v>0.86733990975572972</v>
      </c>
      <c r="AN44" s="91">
        <f t="shared" si="16"/>
        <v>6.4348248818272697</v>
      </c>
      <c r="AO44" s="56">
        <f>AVERAGE(AM44:AM51)</f>
        <v>2.3422489185741369</v>
      </c>
      <c r="AP44" s="113">
        <f>AVERAGE(AN44:AN51)</f>
        <v>3.8233683562408034</v>
      </c>
    </row>
    <row r="45" spans="1:56" x14ac:dyDescent="0.2">
      <c r="A45" s="32">
        <v>6</v>
      </c>
      <c r="B45" s="32" t="s">
        <v>124</v>
      </c>
      <c r="C45" s="32"/>
      <c r="D45" s="33">
        <v>1</v>
      </c>
      <c r="E45" s="34">
        <v>6</v>
      </c>
      <c r="F45" s="33" t="s">
        <v>91</v>
      </c>
      <c r="G45" s="33" t="s">
        <v>115</v>
      </c>
      <c r="I45">
        <v>2</v>
      </c>
      <c r="J45" s="1">
        <v>12</v>
      </c>
      <c r="K45" s="1">
        <v>1</v>
      </c>
      <c r="L45" s="1">
        <v>230</v>
      </c>
      <c r="M45" s="1">
        <v>17</v>
      </c>
      <c r="N45" s="1">
        <v>248</v>
      </c>
      <c r="O45" s="51">
        <f t="shared" si="18"/>
        <v>194.96</v>
      </c>
      <c r="P45" s="1">
        <v>13</v>
      </c>
      <c r="Q45" s="49">
        <f t="shared" si="14"/>
        <v>-7</v>
      </c>
      <c r="R45" s="1">
        <v>323.55</v>
      </c>
      <c r="S45" s="1">
        <v>328.36</v>
      </c>
      <c r="T45" s="48">
        <v>0.14267361111111113</v>
      </c>
      <c r="U45" t="s">
        <v>162</v>
      </c>
      <c r="W45" s="29">
        <v>21.959999999999994</v>
      </c>
      <c r="X45" s="29">
        <v>63</v>
      </c>
      <c r="Y45" s="29">
        <v>43</v>
      </c>
      <c r="AA45" s="88">
        <f t="shared" si="19"/>
        <v>34.058666666666667</v>
      </c>
      <c r="AB45" s="40">
        <f t="shared" si="20"/>
        <v>26.774506666666671</v>
      </c>
      <c r="AC45" s="88">
        <f t="shared" si="21"/>
        <v>3.0354999999999999</v>
      </c>
      <c r="AD45" s="9">
        <f t="shared" si="22"/>
        <v>-1.6344999999999998</v>
      </c>
      <c r="AE45" s="9">
        <v>8.048</v>
      </c>
      <c r="AF45" s="9">
        <v>0.55579858349900602</v>
      </c>
      <c r="AG45" s="88">
        <f t="shared" si="23"/>
        <v>0.13419201</v>
      </c>
      <c r="AH45" s="54">
        <f t="shared" si="24"/>
        <v>0.44730670000000006</v>
      </c>
      <c r="AI45" s="90">
        <f t="shared" si="25"/>
        <v>253.80547371387215</v>
      </c>
      <c r="AJ45" s="73">
        <f t="shared" si="26"/>
        <v>59.857155429745781</v>
      </c>
      <c r="AK45" s="90">
        <f t="shared" si="27"/>
        <v>22.620571820930323</v>
      </c>
      <c r="AL45" s="72">
        <f t="shared" si="28"/>
        <v>-3.654092371073359</v>
      </c>
      <c r="AM45" s="88">
        <f t="shared" si="15"/>
        <v>2.7626589062139129</v>
      </c>
      <c r="AN45" s="91">
        <f t="shared" si="16"/>
        <v>1.3472645515741704</v>
      </c>
      <c r="AO45" t="s">
        <v>332</v>
      </c>
    </row>
    <row r="46" spans="1:56" x14ac:dyDescent="0.2">
      <c r="A46" s="32">
        <v>13</v>
      </c>
      <c r="B46" s="32" t="s">
        <v>123</v>
      </c>
      <c r="C46" s="32"/>
      <c r="D46" s="33">
        <v>2</v>
      </c>
      <c r="E46" s="34">
        <v>6</v>
      </c>
      <c r="F46" s="33" t="s">
        <v>91</v>
      </c>
      <c r="G46" s="33" t="s">
        <v>115</v>
      </c>
      <c r="H46">
        <v>13</v>
      </c>
      <c r="I46">
        <v>1</v>
      </c>
      <c r="J46" s="1">
        <v>27</v>
      </c>
      <c r="K46" s="1">
        <v>1</v>
      </c>
      <c r="L46" s="1">
        <v>456</v>
      </c>
      <c r="M46" s="1">
        <v>29</v>
      </c>
      <c r="N46" s="1">
        <v>493</v>
      </c>
      <c r="O46" s="51">
        <f t="shared" si="18"/>
        <v>440.68</v>
      </c>
      <c r="P46" s="1">
        <v>4</v>
      </c>
      <c r="Q46" s="49">
        <f t="shared" si="14"/>
        <v>-16</v>
      </c>
      <c r="R46" s="1">
        <v>222.83</v>
      </c>
      <c r="S46" s="1">
        <v>300.29000000000002</v>
      </c>
      <c r="T46" s="48">
        <v>0.16679398148148147</v>
      </c>
      <c r="U46" t="s">
        <v>162</v>
      </c>
      <c r="W46" s="29">
        <v>140.91999999999999</v>
      </c>
      <c r="X46" s="29">
        <v>1</v>
      </c>
      <c r="Y46" s="29">
        <v>-19</v>
      </c>
      <c r="AA46" s="88">
        <f t="shared" si="19"/>
        <v>67.705333333333343</v>
      </c>
      <c r="AB46" s="40">
        <f t="shared" si="20"/>
        <v>60.52005333333333</v>
      </c>
      <c r="AC46" s="88">
        <f t="shared" si="21"/>
        <v>0.93399999999999994</v>
      </c>
      <c r="AD46" s="9">
        <f t="shared" si="22"/>
        <v>-3.7359999999999998</v>
      </c>
      <c r="AE46" s="9">
        <v>7.944</v>
      </c>
      <c r="AF46" s="9">
        <v>0.56098527190332326</v>
      </c>
      <c r="AG46" s="88">
        <f t="shared" si="23"/>
        <v>0.13369401</v>
      </c>
      <c r="AH46" s="54">
        <f t="shared" si="24"/>
        <v>0.44564670000000001</v>
      </c>
      <c r="AI46" s="90">
        <f t="shared" si="25"/>
        <v>506.42009565973331</v>
      </c>
      <c r="AJ46" s="73">
        <f t="shared" si="26"/>
        <v>135.80276333995815</v>
      </c>
      <c r="AK46" s="90">
        <f t="shared" si="27"/>
        <v>6.986102069943148</v>
      </c>
      <c r="AL46" s="72">
        <f t="shared" si="28"/>
        <v>-8.3833224839317779</v>
      </c>
      <c r="AM46" s="88">
        <f t="shared" si="15"/>
        <v>5.512355455096694</v>
      </c>
      <c r="AN46" s="91">
        <f t="shared" si="16"/>
        <v>0.41608707980602427</v>
      </c>
    </row>
    <row r="47" spans="1:56" x14ac:dyDescent="0.2">
      <c r="A47" s="32">
        <v>13</v>
      </c>
      <c r="B47" s="32" t="s">
        <v>124</v>
      </c>
      <c r="C47" s="32"/>
      <c r="D47" s="33">
        <v>2</v>
      </c>
      <c r="E47" s="34">
        <v>6</v>
      </c>
      <c r="F47" s="33" t="s">
        <v>91</v>
      </c>
      <c r="G47" s="33" t="s">
        <v>115</v>
      </c>
      <c r="I47">
        <v>2</v>
      </c>
      <c r="J47" s="1">
        <v>28</v>
      </c>
      <c r="K47" s="1">
        <v>1</v>
      </c>
      <c r="L47" s="1">
        <v>178</v>
      </c>
      <c r="M47" s="1">
        <v>12</v>
      </c>
      <c r="N47" s="1">
        <v>193</v>
      </c>
      <c r="O47" s="51">
        <f t="shared" si="18"/>
        <v>140.91999999999999</v>
      </c>
      <c r="P47" s="1">
        <v>1</v>
      </c>
      <c r="Q47" s="49">
        <f t="shared" si="14"/>
        <v>-19</v>
      </c>
      <c r="R47" s="1">
        <v>413.37</v>
      </c>
      <c r="S47" s="1">
        <v>315.63</v>
      </c>
      <c r="T47" s="48">
        <v>0.16840277777777779</v>
      </c>
      <c r="U47" t="s">
        <v>162</v>
      </c>
      <c r="W47" s="29">
        <v>440.68</v>
      </c>
      <c r="X47" s="29">
        <v>4</v>
      </c>
      <c r="Y47" s="29">
        <v>-16</v>
      </c>
      <c r="AA47" s="88">
        <f t="shared" si="19"/>
        <v>26.505333333333333</v>
      </c>
      <c r="AB47" s="40">
        <f t="shared" si="20"/>
        <v>19.35301333333333</v>
      </c>
      <c r="AC47" s="88">
        <f t="shared" si="21"/>
        <v>0.23349999999999999</v>
      </c>
      <c r="AD47" s="9">
        <f t="shared" si="22"/>
        <v>-4.4364999999999997</v>
      </c>
      <c r="AE47" s="9">
        <v>8.0079999999999991</v>
      </c>
      <c r="AF47" s="9">
        <v>0.43983104395604405</v>
      </c>
      <c r="AG47" s="88">
        <f t="shared" si="23"/>
        <v>0.10566501</v>
      </c>
      <c r="AH47" s="54">
        <f t="shared" si="24"/>
        <v>0.35221670000000005</v>
      </c>
      <c r="AI47" s="90">
        <f t="shared" si="25"/>
        <v>250.84304949512929</v>
      </c>
      <c r="AJ47" s="73">
        <f t="shared" si="26"/>
        <v>54.946325183710279</v>
      </c>
      <c r="AK47" s="90">
        <f t="shared" si="27"/>
        <v>2.2098138257877418</v>
      </c>
      <c r="AL47" s="72">
        <f t="shared" si="28"/>
        <v>-12.595938806990127</v>
      </c>
      <c r="AM47" s="88">
        <f t="shared" si="15"/>
        <v>2.7304130782097453</v>
      </c>
      <c r="AN47" s="91">
        <f t="shared" si="16"/>
        <v>0.13161487943941286</v>
      </c>
    </row>
    <row r="48" spans="1:56" x14ac:dyDescent="0.2">
      <c r="A48" s="32">
        <v>20</v>
      </c>
      <c r="B48" s="32" t="s">
        <v>123</v>
      </c>
      <c r="C48" s="32"/>
      <c r="D48" s="33">
        <v>3</v>
      </c>
      <c r="E48" s="34">
        <v>6</v>
      </c>
      <c r="F48" s="33" t="s">
        <v>91</v>
      </c>
      <c r="G48" s="33" t="s">
        <v>115</v>
      </c>
      <c r="H48">
        <v>20</v>
      </c>
      <c r="I48">
        <v>1</v>
      </c>
      <c r="J48" s="1">
        <v>43</v>
      </c>
      <c r="K48" s="1">
        <v>1</v>
      </c>
      <c r="L48" s="1">
        <v>181</v>
      </c>
      <c r="M48" s="1">
        <v>17</v>
      </c>
      <c r="N48" s="1">
        <v>189</v>
      </c>
      <c r="O48" s="51">
        <f t="shared" si="18"/>
        <v>132.6</v>
      </c>
      <c r="P48" s="1">
        <v>55</v>
      </c>
      <c r="Q48" s="49">
        <f t="shared" si="14"/>
        <v>35</v>
      </c>
      <c r="R48" s="1">
        <v>375.9</v>
      </c>
      <c r="S48" s="1">
        <v>335.05</v>
      </c>
      <c r="T48" s="48">
        <v>0.19251157407407407</v>
      </c>
      <c r="U48" t="s">
        <v>162</v>
      </c>
      <c r="W48" s="29">
        <v>-7.3999999999999986</v>
      </c>
      <c r="X48" s="29">
        <v>80</v>
      </c>
      <c r="Y48" s="29">
        <v>60</v>
      </c>
      <c r="AA48" s="88">
        <f t="shared" si="19"/>
        <v>25.956000000000003</v>
      </c>
      <c r="AB48" s="40">
        <f t="shared" si="20"/>
        <v>18.2104</v>
      </c>
      <c r="AC48" s="88">
        <f t="shared" si="21"/>
        <v>12.842499999999999</v>
      </c>
      <c r="AD48" s="9">
        <f t="shared" si="22"/>
        <v>8.1724999999999994</v>
      </c>
      <c r="AE48" s="9">
        <v>8.0039999999999996</v>
      </c>
      <c r="AF48" s="9">
        <v>0.60812931034482753</v>
      </c>
      <c r="AG48" s="88">
        <f t="shared" si="23"/>
        <v>0.14602400999999998</v>
      </c>
      <c r="AH48" s="54">
        <f t="shared" si="24"/>
        <v>0.48674669999999998</v>
      </c>
      <c r="AI48" s="90">
        <f t="shared" si="25"/>
        <v>177.75159030353984</v>
      </c>
      <c r="AJ48" s="73">
        <f t="shared" si="26"/>
        <v>37.412477578173622</v>
      </c>
      <c r="AK48" s="90">
        <f t="shared" si="27"/>
        <v>87.947865559917176</v>
      </c>
      <c r="AL48" s="72">
        <f t="shared" si="28"/>
        <v>16.790047061438731</v>
      </c>
      <c r="AM48" s="88">
        <f t="shared" si="15"/>
        <v>1.9348164831124399</v>
      </c>
      <c r="AN48" s="91">
        <f t="shared" si="16"/>
        <v>5.2381099201856562</v>
      </c>
    </row>
    <row r="49" spans="1:42" x14ac:dyDescent="0.2">
      <c r="A49" s="32">
        <v>20</v>
      </c>
      <c r="B49" s="32" t="s">
        <v>124</v>
      </c>
      <c r="C49" s="32"/>
      <c r="D49" s="33">
        <v>3</v>
      </c>
      <c r="E49" s="34">
        <v>6</v>
      </c>
      <c r="F49" s="33" t="s">
        <v>91</v>
      </c>
      <c r="G49" s="33" t="s">
        <v>115</v>
      </c>
      <c r="I49">
        <v>2</v>
      </c>
      <c r="J49" s="1">
        <v>46</v>
      </c>
      <c r="K49" s="1">
        <v>1</v>
      </c>
      <c r="L49" s="1">
        <v>58</v>
      </c>
      <c r="M49" s="1">
        <v>10</v>
      </c>
      <c r="N49" s="1">
        <v>51</v>
      </c>
      <c r="O49" s="51">
        <f t="shared" si="18"/>
        <v>-7.3999999999999986</v>
      </c>
      <c r="P49" s="1">
        <v>80</v>
      </c>
      <c r="Q49" s="49">
        <f t="shared" si="14"/>
        <v>60</v>
      </c>
      <c r="R49" s="1">
        <v>668.32</v>
      </c>
      <c r="S49" s="1">
        <v>331.57</v>
      </c>
      <c r="T49" s="48">
        <v>0.19733796296296294</v>
      </c>
      <c r="U49" t="s">
        <v>162</v>
      </c>
      <c r="W49" s="29">
        <v>132.6</v>
      </c>
      <c r="X49" s="29">
        <v>55</v>
      </c>
      <c r="Y49" s="29">
        <v>35</v>
      </c>
      <c r="AA49" s="88">
        <f t="shared" si="19"/>
        <v>7.0040000000000004</v>
      </c>
      <c r="AB49" s="40">
        <f t="shared" si="20"/>
        <v>-1.0162666666666664</v>
      </c>
      <c r="AC49" s="88">
        <f t="shared" si="21"/>
        <v>18.68</v>
      </c>
      <c r="AD49" s="9">
        <f t="shared" si="22"/>
        <v>14.01</v>
      </c>
      <c r="AE49" s="9">
        <v>8</v>
      </c>
      <c r="AF49" s="9">
        <v>0.50360837500000011</v>
      </c>
      <c r="AG49" s="88">
        <f t="shared" si="23"/>
        <v>0.12086601000000002</v>
      </c>
      <c r="AH49" s="54">
        <f t="shared" si="24"/>
        <v>0.4028867000000001</v>
      </c>
      <c r="AI49" s="90">
        <f t="shared" si="25"/>
        <v>57.948467066961165</v>
      </c>
      <c r="AJ49" s="73">
        <f t="shared" si="26"/>
        <v>-2.5224626840912499</v>
      </c>
      <c r="AK49" s="90">
        <f t="shared" si="27"/>
        <v>154.5513085109701</v>
      </c>
      <c r="AL49" s="72">
        <f t="shared" si="28"/>
        <v>34.774044414968266</v>
      </c>
      <c r="AM49" s="88">
        <f t="shared" si="15"/>
        <v>0.6307659417324607</v>
      </c>
      <c r="AN49" s="91">
        <f t="shared" si="16"/>
        <v>9.2049617933871417</v>
      </c>
    </row>
    <row r="50" spans="1:42" x14ac:dyDescent="0.2">
      <c r="A50" s="32">
        <v>27</v>
      </c>
      <c r="B50" s="32" t="s">
        <v>123</v>
      </c>
      <c r="C50" s="32"/>
      <c r="D50" s="33">
        <v>4</v>
      </c>
      <c r="E50" s="34">
        <v>6</v>
      </c>
      <c r="F50" s="33" t="s">
        <v>91</v>
      </c>
      <c r="G50" s="33" t="s">
        <v>115</v>
      </c>
      <c r="H50">
        <v>27</v>
      </c>
      <c r="I50">
        <v>1</v>
      </c>
      <c r="J50" s="1">
        <v>61</v>
      </c>
      <c r="K50" s="1">
        <v>1</v>
      </c>
      <c r="L50" s="1">
        <v>52</v>
      </c>
      <c r="M50" s="1">
        <v>3</v>
      </c>
      <c r="N50" s="1">
        <v>58</v>
      </c>
      <c r="O50" s="51">
        <f t="shared" si="18"/>
        <v>6</v>
      </c>
      <c r="P50" s="1">
        <v>0</v>
      </c>
      <c r="Q50" s="49">
        <f t="shared" si="14"/>
        <v>-20</v>
      </c>
      <c r="R50" s="1">
        <v>648.77</v>
      </c>
      <c r="S50" s="1">
        <v>325.93</v>
      </c>
      <c r="T50" s="48">
        <v>0.2215162037037037</v>
      </c>
      <c r="U50" t="s">
        <v>162</v>
      </c>
      <c r="W50" s="29">
        <v>232.64</v>
      </c>
      <c r="X50" s="29">
        <v>67</v>
      </c>
      <c r="Y50" s="29">
        <v>47</v>
      </c>
      <c r="AA50" s="88">
        <f t="shared" si="19"/>
        <v>7.9653333333333336</v>
      </c>
      <c r="AB50" s="40">
        <f t="shared" si="20"/>
        <v>0.82399999999999995</v>
      </c>
      <c r="AC50" s="88">
        <f t="shared" si="21"/>
        <v>0</v>
      </c>
      <c r="AD50" s="9">
        <f t="shared" si="22"/>
        <v>-4.67</v>
      </c>
      <c r="AE50" s="9">
        <v>7.9560000000000004</v>
      </c>
      <c r="AF50" s="9">
        <v>0.54697926093514326</v>
      </c>
      <c r="AG50" s="88">
        <f t="shared" si="23"/>
        <v>0.13055301</v>
      </c>
      <c r="AH50" s="54">
        <f t="shared" si="24"/>
        <v>0.43517669999999997</v>
      </c>
      <c r="AI50" s="90">
        <f t="shared" si="25"/>
        <v>61.012253438915991</v>
      </c>
      <c r="AJ50" s="73">
        <f t="shared" si="26"/>
        <v>1.8934837274146341</v>
      </c>
      <c r="AK50" s="90">
        <f t="shared" si="27"/>
        <v>0</v>
      </c>
      <c r="AL50" s="72">
        <f t="shared" si="28"/>
        <v>-10.731273066779542</v>
      </c>
      <c r="AM50" s="88">
        <f t="shared" si="15"/>
        <v>0.66411509131289859</v>
      </c>
      <c r="AN50" s="91">
        <f t="shared" si="16"/>
        <v>0</v>
      </c>
    </row>
    <row r="51" spans="1:42" s="25" customFormat="1" x14ac:dyDescent="0.2">
      <c r="A51" s="25">
        <v>27</v>
      </c>
      <c r="B51" s="25" t="s">
        <v>124</v>
      </c>
      <c r="D51" s="26">
        <v>4</v>
      </c>
      <c r="E51" s="43">
        <v>6</v>
      </c>
      <c r="F51" s="26" t="s">
        <v>91</v>
      </c>
      <c r="G51" s="26" t="s">
        <v>115</v>
      </c>
      <c r="I51" s="25">
        <v>2</v>
      </c>
      <c r="J51" s="44">
        <v>62</v>
      </c>
      <c r="K51" s="44">
        <v>1</v>
      </c>
      <c r="L51" s="44">
        <v>276</v>
      </c>
      <c r="M51" s="44">
        <v>24</v>
      </c>
      <c r="N51" s="44">
        <v>290</v>
      </c>
      <c r="O51" s="100">
        <f t="shared" si="18"/>
        <v>232.64</v>
      </c>
      <c r="P51" s="44">
        <v>67</v>
      </c>
      <c r="Q51" s="101">
        <f t="shared" si="14"/>
        <v>47</v>
      </c>
      <c r="R51" s="44">
        <v>159.93</v>
      </c>
      <c r="S51" s="44">
        <v>321.91000000000003</v>
      </c>
      <c r="T51" s="102">
        <v>0.22311342592592595</v>
      </c>
      <c r="U51" s="25" t="s">
        <v>162</v>
      </c>
      <c r="W51" s="43">
        <v>6</v>
      </c>
      <c r="X51" s="43">
        <v>0</v>
      </c>
      <c r="Y51" s="43">
        <v>-20</v>
      </c>
      <c r="AA51" s="103">
        <f t="shared" si="19"/>
        <v>39.826666666666668</v>
      </c>
      <c r="AB51" s="104">
        <f t="shared" si="20"/>
        <v>31.949226666666664</v>
      </c>
      <c r="AC51" s="103">
        <f t="shared" si="21"/>
        <v>15.644499999999999</v>
      </c>
      <c r="AD51" s="46">
        <f t="shared" si="22"/>
        <v>10.974500000000001</v>
      </c>
      <c r="AE51" s="46">
        <v>8</v>
      </c>
      <c r="AF51" s="46">
        <v>0.49684587499999999</v>
      </c>
      <c r="AG51" s="103">
        <f t="shared" si="23"/>
        <v>0.11924301</v>
      </c>
      <c r="AH51" s="105">
        <f t="shared" si="24"/>
        <v>0.39747670000000002</v>
      </c>
      <c r="AI51" s="106">
        <f t="shared" si="25"/>
        <v>333.99581800783687</v>
      </c>
      <c r="AJ51" s="107">
        <f t="shared" si="26"/>
        <v>80.380124587596356</v>
      </c>
      <c r="AK51" s="106">
        <f t="shared" si="27"/>
        <v>131.19846605683637</v>
      </c>
      <c r="AL51" s="108">
        <f t="shared" si="28"/>
        <v>27.610423453752134</v>
      </c>
      <c r="AM51" s="103">
        <f t="shared" si="15"/>
        <v>3.6355264831592127</v>
      </c>
      <c r="AN51" s="109">
        <f t="shared" si="16"/>
        <v>7.8140837437067523</v>
      </c>
    </row>
    <row r="52" spans="1:42" x14ac:dyDescent="0.2">
      <c r="A52" s="32">
        <v>7</v>
      </c>
      <c r="B52" s="32" t="s">
        <v>125</v>
      </c>
      <c r="C52" s="32"/>
      <c r="D52" s="33">
        <v>1</v>
      </c>
      <c r="E52" s="34">
        <v>7</v>
      </c>
      <c r="F52" s="33" t="s">
        <v>91</v>
      </c>
      <c r="G52" s="33" t="s">
        <v>117</v>
      </c>
      <c r="H52">
        <v>7</v>
      </c>
      <c r="I52">
        <v>1</v>
      </c>
      <c r="J52" s="1">
        <v>13</v>
      </c>
      <c r="K52" s="1">
        <v>1</v>
      </c>
      <c r="L52" s="1">
        <v>59</v>
      </c>
      <c r="M52" s="1">
        <v>10</v>
      </c>
      <c r="N52" s="1">
        <v>53</v>
      </c>
      <c r="O52" s="51">
        <f t="shared" si="18"/>
        <v>-5.3999999999999986</v>
      </c>
      <c r="P52" s="1">
        <v>80</v>
      </c>
      <c r="Q52" s="49">
        <f t="shared" si="14"/>
        <v>60</v>
      </c>
      <c r="R52" s="1">
        <v>815.76</v>
      </c>
      <c r="S52" s="1">
        <v>325.37</v>
      </c>
      <c r="T52" s="48">
        <v>0.14431712962962964</v>
      </c>
      <c r="U52" t="s">
        <v>162</v>
      </c>
      <c r="W52" s="29">
        <v>-27.92</v>
      </c>
      <c r="X52" s="29">
        <v>74</v>
      </c>
      <c r="Y52" s="29">
        <v>54</v>
      </c>
      <c r="AA52" s="88">
        <f t="shared" si="19"/>
        <v>7.2786666666666671</v>
      </c>
      <c r="AB52" s="40">
        <f t="shared" si="20"/>
        <v>-0.74159999999999981</v>
      </c>
      <c r="AC52" s="88">
        <f t="shared" si="21"/>
        <v>18.68</v>
      </c>
      <c r="AD52" s="9">
        <f t="shared" si="22"/>
        <v>14.01</v>
      </c>
      <c r="AE52" s="9">
        <v>7.9720000000000004</v>
      </c>
      <c r="AF52" s="9">
        <v>0.57073093326643243</v>
      </c>
      <c r="AG52" s="88">
        <f t="shared" si="23"/>
        <v>0.13649601</v>
      </c>
      <c r="AH52" s="54">
        <f t="shared" si="24"/>
        <v>0.45498669999999997</v>
      </c>
      <c r="AI52" s="90">
        <f t="shared" si="25"/>
        <v>53.325124057960863</v>
      </c>
      <c r="AJ52" s="73">
        <f t="shared" si="26"/>
        <v>-1.629937754224464</v>
      </c>
      <c r="AK52" s="90">
        <f t="shared" si="27"/>
        <v>136.85381719216554</v>
      </c>
      <c r="AL52" s="72">
        <f t="shared" si="28"/>
        <v>30.79210886823725</v>
      </c>
      <c r="AM52" s="88">
        <f t="shared" si="15"/>
        <v>0.58044110218744815</v>
      </c>
      <c r="AN52" s="91">
        <f t="shared" si="16"/>
        <v>8.1509122806530989</v>
      </c>
      <c r="AO52" s="56">
        <f>AVERAGE(AM52:AM59)</f>
        <v>0.71826119285169054</v>
      </c>
      <c r="AP52" s="113">
        <f>AVERAGE(AN52:AN59)</f>
        <v>6.5675004470053402</v>
      </c>
    </row>
    <row r="53" spans="1:42" x14ac:dyDescent="0.2">
      <c r="A53" s="32">
        <v>7</v>
      </c>
      <c r="B53" s="32" t="s">
        <v>126</v>
      </c>
      <c r="C53" s="32"/>
      <c r="D53" s="33">
        <v>1</v>
      </c>
      <c r="E53" s="34">
        <v>7</v>
      </c>
      <c r="F53" s="33" t="s">
        <v>91</v>
      </c>
      <c r="G53" s="33" t="s">
        <v>117</v>
      </c>
      <c r="I53">
        <v>2</v>
      </c>
      <c r="J53" s="1">
        <v>16</v>
      </c>
      <c r="K53" s="1">
        <v>1</v>
      </c>
      <c r="L53" s="1">
        <v>38</v>
      </c>
      <c r="M53" s="1">
        <v>8</v>
      </c>
      <c r="N53" s="1">
        <v>30</v>
      </c>
      <c r="O53" s="51">
        <f t="shared" si="18"/>
        <v>-27.92</v>
      </c>
      <c r="P53" s="1">
        <v>74</v>
      </c>
      <c r="Q53" s="49">
        <f t="shared" si="14"/>
        <v>54</v>
      </c>
      <c r="R53" s="1">
        <v>745.64</v>
      </c>
      <c r="S53" s="1">
        <v>300.26</v>
      </c>
      <c r="T53" s="48">
        <v>0.14912037037037038</v>
      </c>
      <c r="U53" t="s">
        <v>162</v>
      </c>
      <c r="W53" s="51">
        <v>-5</v>
      </c>
      <c r="X53" s="47">
        <v>80</v>
      </c>
      <c r="Y53" s="51">
        <f>X53-20</f>
        <v>60</v>
      </c>
      <c r="AA53" s="88">
        <f t="shared" si="19"/>
        <v>4.12</v>
      </c>
      <c r="AB53" s="40">
        <f t="shared" si="20"/>
        <v>-3.8343466666666672</v>
      </c>
      <c r="AC53" s="88">
        <f t="shared" si="21"/>
        <v>17.279</v>
      </c>
      <c r="AD53" s="9">
        <f t="shared" si="22"/>
        <v>12.609</v>
      </c>
      <c r="AE53" s="9">
        <v>8.0679999999999996</v>
      </c>
      <c r="AF53" s="9">
        <v>0.46936874070401591</v>
      </c>
      <c r="AG53" s="88">
        <f t="shared" si="23"/>
        <v>0.11360601000000001</v>
      </c>
      <c r="AH53" s="54">
        <f t="shared" si="24"/>
        <v>0.37868669999999999</v>
      </c>
      <c r="AI53" s="90">
        <f t="shared" si="25"/>
        <v>36.265687000185991</v>
      </c>
      <c r="AJ53" s="73">
        <f t="shared" si="26"/>
        <v>-10.125379810451932</v>
      </c>
      <c r="AK53" s="90">
        <f t="shared" si="27"/>
        <v>152.09582662044022</v>
      </c>
      <c r="AL53" s="72">
        <f t="shared" si="28"/>
        <v>33.296653935826107</v>
      </c>
      <c r="AM53" s="88">
        <f t="shared" si="15"/>
        <v>0.39475004898428206</v>
      </c>
      <c r="AN53" s="91">
        <f t="shared" si="16"/>
        <v>9.0587151054461117</v>
      </c>
    </row>
    <row r="54" spans="1:42" x14ac:dyDescent="0.2">
      <c r="A54" s="32">
        <v>14</v>
      </c>
      <c r="B54" s="32" t="s">
        <v>125</v>
      </c>
      <c r="C54" s="32"/>
      <c r="D54" s="33">
        <v>2</v>
      </c>
      <c r="E54" s="34">
        <v>7</v>
      </c>
      <c r="F54" s="33" t="s">
        <v>91</v>
      </c>
      <c r="G54" s="33" t="s">
        <v>117</v>
      </c>
      <c r="H54">
        <v>14</v>
      </c>
      <c r="I54">
        <v>1</v>
      </c>
      <c r="J54" s="1">
        <v>31</v>
      </c>
      <c r="K54" s="1">
        <v>1</v>
      </c>
      <c r="L54" s="1">
        <v>230</v>
      </c>
      <c r="M54" s="1">
        <v>16</v>
      </c>
      <c r="N54" s="1">
        <v>251</v>
      </c>
      <c r="O54" s="51">
        <f t="shared" si="18"/>
        <v>199</v>
      </c>
      <c r="P54" s="1">
        <v>0</v>
      </c>
      <c r="Q54" s="49">
        <f t="shared" si="14"/>
        <v>-20</v>
      </c>
      <c r="R54" s="1">
        <v>353.78</v>
      </c>
      <c r="S54" s="1">
        <v>332.63</v>
      </c>
      <c r="T54" s="48">
        <v>0.1732060185185185</v>
      </c>
      <c r="U54" t="s">
        <v>162</v>
      </c>
      <c r="W54" s="29">
        <v>14.480000000000004</v>
      </c>
      <c r="X54" s="29">
        <v>19</v>
      </c>
      <c r="Y54" s="29">
        <v>-1</v>
      </c>
      <c r="AA54" s="88">
        <f t="shared" si="19"/>
        <v>34.470666666666673</v>
      </c>
      <c r="AB54" s="40">
        <f t="shared" si="20"/>
        <v>27.329333333333334</v>
      </c>
      <c r="AC54" s="88">
        <f t="shared" si="21"/>
        <v>0</v>
      </c>
      <c r="AD54" s="9">
        <f t="shared" si="22"/>
        <v>-4.67</v>
      </c>
      <c r="AE54" s="9">
        <v>8.0719999999999992</v>
      </c>
      <c r="AF54" s="9">
        <v>0.55574417740337001</v>
      </c>
      <c r="AG54" s="88">
        <f t="shared" si="23"/>
        <v>0.13457901000000005</v>
      </c>
      <c r="AH54" s="54">
        <f t="shared" si="24"/>
        <v>0.44859670000000024</v>
      </c>
      <c r="AI54" s="90">
        <f t="shared" si="25"/>
        <v>256.13702067407587</v>
      </c>
      <c r="AJ54" s="73">
        <f t="shared" si="26"/>
        <v>60.921833204152684</v>
      </c>
      <c r="AK54" s="90">
        <f t="shared" si="27"/>
        <v>0</v>
      </c>
      <c r="AL54" s="72">
        <f t="shared" si="28"/>
        <v>-10.410241537666233</v>
      </c>
      <c r="AM54" s="88">
        <f t="shared" si="15"/>
        <v>2.7880376692508531</v>
      </c>
      <c r="AN54" s="91">
        <f t="shared" si="16"/>
        <v>0</v>
      </c>
    </row>
    <row r="55" spans="1:42" x14ac:dyDescent="0.2">
      <c r="A55" s="32">
        <v>14</v>
      </c>
      <c r="B55" s="32" t="s">
        <v>126</v>
      </c>
      <c r="C55" s="32"/>
      <c r="D55" s="33">
        <v>3</v>
      </c>
      <c r="E55" s="34">
        <v>7</v>
      </c>
      <c r="F55" s="33" t="s">
        <v>91</v>
      </c>
      <c r="G55" s="33" t="s">
        <v>117</v>
      </c>
      <c r="I55">
        <v>2</v>
      </c>
      <c r="J55" s="1">
        <v>32</v>
      </c>
      <c r="K55" s="1">
        <v>1</v>
      </c>
      <c r="L55" s="1">
        <v>65</v>
      </c>
      <c r="M55" s="1">
        <v>6</v>
      </c>
      <c r="N55" s="1">
        <v>68</v>
      </c>
      <c r="O55" s="51">
        <f t="shared" si="18"/>
        <v>14.480000000000004</v>
      </c>
      <c r="P55" s="1">
        <v>19</v>
      </c>
      <c r="Q55" s="49">
        <f t="shared" si="14"/>
        <v>-1</v>
      </c>
      <c r="R55" s="1">
        <v>588.55999999999995</v>
      </c>
      <c r="S55" s="1">
        <v>333.38</v>
      </c>
      <c r="T55" s="48">
        <v>0.17482638888888891</v>
      </c>
      <c r="U55" t="s">
        <v>162</v>
      </c>
      <c r="W55" s="29">
        <v>199</v>
      </c>
      <c r="X55" s="29">
        <v>0</v>
      </c>
      <c r="Y55" s="29">
        <v>-20</v>
      </c>
      <c r="AA55" s="88">
        <f t="shared" si="19"/>
        <v>9.3386666666666667</v>
      </c>
      <c r="AB55" s="40">
        <f t="shared" si="20"/>
        <v>1.9885866666666672</v>
      </c>
      <c r="AC55" s="88">
        <f t="shared" si="21"/>
        <v>4.4364999999999997</v>
      </c>
      <c r="AD55" s="9">
        <f t="shared" si="22"/>
        <v>-0.23349999999999999</v>
      </c>
      <c r="AE55" s="9">
        <v>7.984</v>
      </c>
      <c r="AF55" s="9">
        <v>0.6086757264529058</v>
      </c>
      <c r="AG55" s="88">
        <f t="shared" si="23"/>
        <v>0.14579000999999997</v>
      </c>
      <c r="AH55" s="54">
        <f t="shared" si="24"/>
        <v>0.48596669999999997</v>
      </c>
      <c r="AI55" s="90">
        <f t="shared" si="25"/>
        <v>64.055600700395516</v>
      </c>
      <c r="AJ55" s="73">
        <f t="shared" si="26"/>
        <v>4.0920224918017372</v>
      </c>
      <c r="AK55" s="90">
        <f t="shared" si="27"/>
        <v>30.430754480365291</v>
      </c>
      <c r="AL55" s="72">
        <f t="shared" si="28"/>
        <v>-0.48048559705839927</v>
      </c>
      <c r="AM55" s="88">
        <f t="shared" si="15"/>
        <v>0.6972417622770819</v>
      </c>
      <c r="AN55" s="91">
        <f t="shared" si="16"/>
        <v>1.8124332626780995</v>
      </c>
    </row>
    <row r="56" spans="1:42" x14ac:dyDescent="0.2">
      <c r="A56" s="32">
        <v>21</v>
      </c>
      <c r="B56" s="32" t="s">
        <v>125</v>
      </c>
      <c r="C56" s="32"/>
      <c r="D56" s="33">
        <v>3</v>
      </c>
      <c r="E56" s="34">
        <v>7</v>
      </c>
      <c r="F56" s="33" t="s">
        <v>91</v>
      </c>
      <c r="G56" s="33" t="s">
        <v>117</v>
      </c>
      <c r="H56">
        <v>21</v>
      </c>
      <c r="I56">
        <v>1</v>
      </c>
      <c r="J56" s="1">
        <v>47</v>
      </c>
      <c r="K56" s="1">
        <v>1</v>
      </c>
      <c r="L56" s="1">
        <v>61</v>
      </c>
      <c r="M56" s="1">
        <v>3</v>
      </c>
      <c r="N56" s="1">
        <v>69</v>
      </c>
      <c r="O56" s="51">
        <f t="shared" si="18"/>
        <v>17</v>
      </c>
      <c r="P56" s="1">
        <v>0</v>
      </c>
      <c r="Q56" s="49">
        <f t="shared" si="14"/>
        <v>-20</v>
      </c>
      <c r="R56" s="1">
        <v>706.11</v>
      </c>
      <c r="S56" s="1">
        <v>331.06</v>
      </c>
      <c r="T56" s="48">
        <v>0.19893518518518519</v>
      </c>
      <c r="U56" t="s">
        <v>162</v>
      </c>
      <c r="W56" s="29">
        <v>-22.16</v>
      </c>
      <c r="X56" s="29">
        <v>77</v>
      </c>
      <c r="Y56" s="29">
        <v>57</v>
      </c>
      <c r="AA56" s="88">
        <f t="shared" si="19"/>
        <v>9.4760000000000009</v>
      </c>
      <c r="AB56" s="40">
        <f t="shared" si="20"/>
        <v>2.3346666666666667</v>
      </c>
      <c r="AC56" s="88">
        <f t="shared" si="21"/>
        <v>0</v>
      </c>
      <c r="AD56" s="9">
        <f t="shared" si="22"/>
        <v>-4.67</v>
      </c>
      <c r="AE56" s="9">
        <v>8.072000000000001</v>
      </c>
      <c r="AF56" s="9">
        <v>0.51836806243805744</v>
      </c>
      <c r="AG56" s="88">
        <f t="shared" si="23"/>
        <v>0.12552801</v>
      </c>
      <c r="AH56" s="54">
        <f t="shared" si="24"/>
        <v>0.41842670000000004</v>
      </c>
      <c r="AI56" s="90">
        <f t="shared" si="25"/>
        <v>75.489127884684876</v>
      </c>
      <c r="AJ56" s="73">
        <f t="shared" si="26"/>
        <v>5.5796311914767065</v>
      </c>
      <c r="AK56" s="90">
        <f t="shared" si="27"/>
        <v>0</v>
      </c>
      <c r="AL56" s="72">
        <f t="shared" si="28"/>
        <v>-11.160855652853892</v>
      </c>
      <c r="AM56" s="88">
        <f t="shared" si="15"/>
        <v>0.82169508963410121</v>
      </c>
      <c r="AN56" s="91">
        <f t="shared" si="16"/>
        <v>0</v>
      </c>
    </row>
    <row r="57" spans="1:42" x14ac:dyDescent="0.2">
      <c r="A57" s="32">
        <v>21</v>
      </c>
      <c r="B57" s="32" t="s">
        <v>126</v>
      </c>
      <c r="C57" s="32"/>
      <c r="D57" s="33">
        <v>3</v>
      </c>
      <c r="E57" s="34">
        <v>7</v>
      </c>
      <c r="F57" s="33" t="s">
        <v>91</v>
      </c>
      <c r="G57" s="33" t="s">
        <v>117</v>
      </c>
      <c r="I57">
        <v>2</v>
      </c>
      <c r="J57" s="1">
        <v>48</v>
      </c>
      <c r="K57" s="1">
        <v>1</v>
      </c>
      <c r="L57" s="1">
        <v>43</v>
      </c>
      <c r="M57" s="1">
        <v>9</v>
      </c>
      <c r="N57" s="1">
        <v>36</v>
      </c>
      <c r="O57" s="51">
        <f t="shared" si="18"/>
        <v>-22.16</v>
      </c>
      <c r="P57" s="1">
        <v>77</v>
      </c>
      <c r="Q57" s="49">
        <f t="shared" si="14"/>
        <v>57</v>
      </c>
      <c r="R57" s="1">
        <v>809.08</v>
      </c>
      <c r="S57" s="1">
        <v>333.37</v>
      </c>
      <c r="T57" s="48">
        <v>0.20054398148148148</v>
      </c>
      <c r="U57" t="s">
        <v>162</v>
      </c>
      <c r="W57" s="29">
        <v>17</v>
      </c>
      <c r="X57" s="29">
        <v>0</v>
      </c>
      <c r="Y57" s="29">
        <v>-20</v>
      </c>
      <c r="AA57" s="88">
        <f t="shared" si="19"/>
        <v>4.944</v>
      </c>
      <c r="AB57" s="40">
        <f t="shared" si="20"/>
        <v>-3.0433066666666666</v>
      </c>
      <c r="AC57" s="88">
        <f t="shared" si="21"/>
        <v>17.979499999999998</v>
      </c>
      <c r="AD57" s="9">
        <f t="shared" si="22"/>
        <v>13.309499999999998</v>
      </c>
      <c r="AE57" s="9">
        <v>7.98</v>
      </c>
      <c r="AF57" s="9">
        <v>0.48454473684210525</v>
      </c>
      <c r="AG57" s="88">
        <f t="shared" si="23"/>
        <v>0.11600001</v>
      </c>
      <c r="AH57" s="54">
        <f t="shared" si="24"/>
        <v>0.38666670000000003</v>
      </c>
      <c r="AI57" s="90">
        <f t="shared" si="25"/>
        <v>42.620685980975345</v>
      </c>
      <c r="AJ57" s="73">
        <f t="shared" si="26"/>
        <v>-7.8706200111534468</v>
      </c>
      <c r="AK57" s="90">
        <f t="shared" si="27"/>
        <v>154.99567629347615</v>
      </c>
      <c r="AL57" s="72">
        <f t="shared" si="28"/>
        <v>34.421117722317433</v>
      </c>
      <c r="AM57" s="88">
        <f t="shared" si="15"/>
        <v>0.46392387047975775</v>
      </c>
      <c r="AN57" s="91">
        <f t="shared" si="16"/>
        <v>9.2314280103321114</v>
      </c>
    </row>
    <row r="58" spans="1:42" ht="15" x14ac:dyDescent="0.25">
      <c r="A58" s="32">
        <v>28</v>
      </c>
      <c r="B58" s="32" t="s">
        <v>133</v>
      </c>
      <c r="C58" s="32"/>
      <c r="D58" s="33">
        <v>4</v>
      </c>
      <c r="E58" s="34">
        <v>7</v>
      </c>
      <c r="F58" s="33" t="s">
        <v>91</v>
      </c>
      <c r="G58" s="33" t="s">
        <v>117</v>
      </c>
      <c r="H58">
        <v>28</v>
      </c>
      <c r="I58">
        <v>1</v>
      </c>
      <c r="J58" s="1">
        <v>63</v>
      </c>
      <c r="K58" s="1">
        <v>1</v>
      </c>
      <c r="L58" s="1">
        <v>644</v>
      </c>
      <c r="M58" s="1">
        <v>43</v>
      </c>
      <c r="N58" s="1">
        <v>702</v>
      </c>
      <c r="O58" s="51">
        <f t="shared" si="18"/>
        <v>650</v>
      </c>
      <c r="P58" s="1">
        <v>0</v>
      </c>
      <c r="Q58" s="49">
        <f t="shared" si="14"/>
        <v>-20</v>
      </c>
      <c r="R58" s="1">
        <v>145.38999999999999</v>
      </c>
      <c r="S58" s="1">
        <v>324.74</v>
      </c>
      <c r="T58" s="48">
        <v>0.22471064814814815</v>
      </c>
      <c r="U58" t="s">
        <v>162</v>
      </c>
      <c r="W58" s="29">
        <v>768</v>
      </c>
      <c r="X58" s="29">
        <v>0</v>
      </c>
      <c r="Y58" s="29">
        <v>-20</v>
      </c>
      <c r="AA58" s="88">
        <f t="shared" si="19"/>
        <v>96.408000000000001</v>
      </c>
      <c r="AB58" s="40">
        <f t="shared" si="20"/>
        <v>89.266666666666666</v>
      </c>
      <c r="AC58" s="88">
        <f t="shared" si="21"/>
        <v>0</v>
      </c>
      <c r="AD58" s="9">
        <f t="shared" si="22"/>
        <v>-4.67</v>
      </c>
      <c r="AE58" s="9">
        <v>8.0279999999999987</v>
      </c>
      <c r="AF58" s="9">
        <v>0.44505069755854509</v>
      </c>
      <c r="AG58" s="88">
        <f t="shared" si="23"/>
        <v>0.10718600999999998</v>
      </c>
      <c r="AH58" s="54">
        <f t="shared" si="24"/>
        <v>0.35728669999999996</v>
      </c>
      <c r="AI58" s="90">
        <f t="shared" si="25"/>
        <v>899.4457392340662</v>
      </c>
      <c r="AJ58" s="73">
        <f t="shared" si="26"/>
        <v>249.8460386761295</v>
      </c>
      <c r="AK58" s="90">
        <f t="shared" si="27"/>
        <v>0</v>
      </c>
      <c r="AL58" s="72">
        <f t="shared" si="28"/>
        <v>-13.070735630517454</v>
      </c>
      <c r="AM58" s="50">
        <v>0</v>
      </c>
      <c r="AN58" s="40">
        <f>AI58/AM$3*100</f>
        <v>9.7904184089916857</v>
      </c>
    </row>
    <row r="59" spans="1:42" ht="15" x14ac:dyDescent="0.25">
      <c r="A59" s="32">
        <v>28</v>
      </c>
      <c r="B59" s="32" t="s">
        <v>134</v>
      </c>
      <c r="C59" s="32"/>
      <c r="D59" s="33">
        <v>4</v>
      </c>
      <c r="E59" s="34">
        <v>7</v>
      </c>
      <c r="F59" s="33" t="s">
        <v>91</v>
      </c>
      <c r="G59" s="33" t="s">
        <v>117</v>
      </c>
      <c r="I59">
        <v>2</v>
      </c>
      <c r="J59" s="1">
        <v>64</v>
      </c>
      <c r="K59" s="1">
        <v>1</v>
      </c>
      <c r="L59" s="1">
        <v>755</v>
      </c>
      <c r="M59" s="1">
        <v>49</v>
      </c>
      <c r="N59" s="1">
        <v>820</v>
      </c>
      <c r="O59" s="51">
        <f t="shared" si="18"/>
        <v>768</v>
      </c>
      <c r="P59" s="1">
        <v>0</v>
      </c>
      <c r="Q59" s="49">
        <f t="shared" si="14"/>
        <v>-20</v>
      </c>
      <c r="R59" s="1">
        <v>131.99</v>
      </c>
      <c r="S59" s="1">
        <v>308.97000000000003</v>
      </c>
      <c r="T59" s="48">
        <v>0.22631944444444443</v>
      </c>
      <c r="U59" t="s">
        <v>162</v>
      </c>
      <c r="W59" s="29">
        <v>650</v>
      </c>
      <c r="X59" s="29">
        <v>0</v>
      </c>
      <c r="Y59" s="29">
        <v>-20</v>
      </c>
      <c r="AA59" s="88">
        <f t="shared" si="19"/>
        <v>112.61333333333333</v>
      </c>
      <c r="AB59" s="40">
        <f t="shared" si="20"/>
        <v>105.47199999999999</v>
      </c>
      <c r="AC59" s="88">
        <f t="shared" si="21"/>
        <v>0</v>
      </c>
      <c r="AD59" s="9">
        <f t="shared" si="22"/>
        <v>-4.67</v>
      </c>
      <c r="AE59" s="9">
        <v>7.9879999999999995</v>
      </c>
      <c r="AF59" s="9">
        <v>0.35286266900350527</v>
      </c>
      <c r="AG59" s="88">
        <f t="shared" si="23"/>
        <v>8.4560010000000005E-2</v>
      </c>
      <c r="AH59" s="54">
        <f t="shared" si="24"/>
        <v>0.28186670000000003</v>
      </c>
      <c r="AI59" s="90">
        <f t="shared" si="25"/>
        <v>1331.7563861845963</v>
      </c>
      <c r="AJ59" s="73">
        <f t="shared" si="26"/>
        <v>374.19106265479388</v>
      </c>
      <c r="AK59" s="90">
        <f t="shared" si="27"/>
        <v>0</v>
      </c>
      <c r="AL59" s="72">
        <f t="shared" si="28"/>
        <v>-16.568115353817955</v>
      </c>
      <c r="AM59" s="50">
        <v>0</v>
      </c>
      <c r="AN59" s="40">
        <f>AI59/AM$3*100</f>
        <v>14.496096507941617</v>
      </c>
    </row>
    <row r="76" spans="7:7" x14ac:dyDescent="0.2">
      <c r="G76" s="4"/>
    </row>
    <row r="79" spans="7:7" x14ac:dyDescent="0.2">
      <c r="G79" s="4"/>
    </row>
    <row r="80" spans="7:7" x14ac:dyDescent="0.2">
      <c r="G80" s="4"/>
    </row>
    <row r="81" spans="7:21" x14ac:dyDescent="0.2">
      <c r="G81" s="4"/>
    </row>
    <row r="82" spans="7:21" x14ac:dyDescent="0.2">
      <c r="G82" s="4"/>
    </row>
    <row r="84" spans="7:21" x14ac:dyDescent="0.2">
      <c r="G84" s="11"/>
    </row>
    <row r="88" spans="7:21" x14ac:dyDescent="0.2">
      <c r="I88" t="s">
        <v>5</v>
      </c>
      <c r="J88" s="1">
        <v>14</v>
      </c>
      <c r="K88" s="1">
        <v>1</v>
      </c>
      <c r="L88" s="1">
        <v>50</v>
      </c>
      <c r="M88" s="1">
        <v>0</v>
      </c>
      <c r="N88" s="1">
        <v>61</v>
      </c>
      <c r="O88" s="51">
        <f t="shared" ref="O88:O97" si="29">(N88-(0.08*P88))-N$133</f>
        <v>61</v>
      </c>
      <c r="P88" s="1">
        <v>0</v>
      </c>
      <c r="Q88" s="1"/>
      <c r="R88" s="1">
        <v>539.26</v>
      </c>
      <c r="S88" s="1">
        <v>314.44</v>
      </c>
      <c r="T88" s="48">
        <v>0.14592592592592593</v>
      </c>
      <c r="U88" t="s">
        <v>162</v>
      </c>
    </row>
    <row r="89" spans="7:21" x14ac:dyDescent="0.2">
      <c r="I89" t="s">
        <v>6</v>
      </c>
      <c r="J89" s="1">
        <v>15</v>
      </c>
      <c r="K89" s="1">
        <v>1</v>
      </c>
      <c r="L89" s="1">
        <v>43</v>
      </c>
      <c r="M89" s="1">
        <v>4</v>
      </c>
      <c r="N89" s="1">
        <v>45</v>
      </c>
      <c r="O89" s="51">
        <f t="shared" si="29"/>
        <v>43.88</v>
      </c>
      <c r="P89" s="1">
        <v>14</v>
      </c>
      <c r="Q89" s="1"/>
      <c r="R89" s="1">
        <v>717.49</v>
      </c>
      <c r="S89" s="1">
        <v>327.25</v>
      </c>
      <c r="T89" s="48">
        <v>0.14752314814814815</v>
      </c>
      <c r="U89" t="s">
        <v>162</v>
      </c>
    </row>
    <row r="90" spans="7:21" x14ac:dyDescent="0.2">
      <c r="I90" t="s">
        <v>5</v>
      </c>
      <c r="J90" s="1">
        <v>29</v>
      </c>
      <c r="K90" s="1">
        <v>1</v>
      </c>
      <c r="L90" s="1">
        <v>51</v>
      </c>
      <c r="M90" s="1">
        <v>3</v>
      </c>
      <c r="N90" s="1">
        <v>56</v>
      </c>
      <c r="O90" s="51">
        <f t="shared" si="29"/>
        <v>56</v>
      </c>
      <c r="P90" s="1">
        <v>0</v>
      </c>
      <c r="Q90" s="1"/>
      <c r="R90" s="1">
        <v>470.71</v>
      </c>
      <c r="S90" s="1">
        <v>323.01</v>
      </c>
      <c r="T90" s="48">
        <v>0.17001157407407408</v>
      </c>
      <c r="U90" t="s">
        <v>162</v>
      </c>
    </row>
    <row r="91" spans="7:21" x14ac:dyDescent="0.2">
      <c r="I91" t="s">
        <v>6</v>
      </c>
      <c r="J91" s="1">
        <v>30</v>
      </c>
      <c r="K91" s="1">
        <v>1</v>
      </c>
      <c r="L91" s="1">
        <v>170</v>
      </c>
      <c r="M91" s="1">
        <v>12</v>
      </c>
      <c r="N91" s="1">
        <v>180</v>
      </c>
      <c r="O91" s="51">
        <f t="shared" si="29"/>
        <v>177.92</v>
      </c>
      <c r="P91" s="1">
        <v>26</v>
      </c>
      <c r="Q91" s="1"/>
      <c r="R91" s="1">
        <v>155.31</v>
      </c>
      <c r="S91" s="1">
        <v>282.95999999999998</v>
      </c>
      <c r="T91" s="48">
        <v>0.17162037037037037</v>
      </c>
      <c r="U91" t="s">
        <v>162</v>
      </c>
    </row>
    <row r="92" spans="7:21" x14ac:dyDescent="0.2">
      <c r="I92" t="s">
        <v>5</v>
      </c>
      <c r="J92" s="1">
        <v>44</v>
      </c>
      <c r="K92" s="1">
        <v>1</v>
      </c>
      <c r="L92" s="1">
        <v>43</v>
      </c>
      <c r="M92" s="1">
        <v>7</v>
      </c>
      <c r="N92" s="1">
        <v>39</v>
      </c>
      <c r="O92" s="51">
        <f t="shared" si="29"/>
        <v>34.6</v>
      </c>
      <c r="P92" s="1">
        <v>55</v>
      </c>
      <c r="Q92" s="1"/>
      <c r="R92" s="1">
        <v>718.78</v>
      </c>
      <c r="S92" s="1">
        <v>324.76</v>
      </c>
      <c r="T92" s="48">
        <v>0.19412037037037036</v>
      </c>
      <c r="U92" t="s">
        <v>162</v>
      </c>
    </row>
    <row r="93" spans="7:21" x14ac:dyDescent="0.2">
      <c r="I93" t="s">
        <v>6</v>
      </c>
      <c r="J93" s="1">
        <v>45</v>
      </c>
      <c r="K93" s="1">
        <v>1</v>
      </c>
      <c r="L93" s="1">
        <v>289</v>
      </c>
      <c r="M93" s="1">
        <v>27</v>
      </c>
      <c r="N93" s="1">
        <v>301</v>
      </c>
      <c r="O93" s="51">
        <f t="shared" si="29"/>
        <v>294.04000000000002</v>
      </c>
      <c r="P93" s="1">
        <v>87</v>
      </c>
      <c r="Q93" s="1"/>
      <c r="R93" s="1">
        <v>217.57</v>
      </c>
      <c r="S93" s="1">
        <v>336.59</v>
      </c>
      <c r="T93" s="48">
        <v>0.19570601851851852</v>
      </c>
      <c r="U93" t="s">
        <v>162</v>
      </c>
    </row>
    <row r="94" spans="7:21" x14ac:dyDescent="0.2">
      <c r="I94" t="s">
        <v>5</v>
      </c>
      <c r="J94" s="1">
        <v>59</v>
      </c>
      <c r="K94" s="1">
        <v>1</v>
      </c>
      <c r="L94" s="1">
        <v>68</v>
      </c>
      <c r="M94" s="1">
        <v>8</v>
      </c>
      <c r="N94" s="1">
        <v>67</v>
      </c>
      <c r="O94" s="51">
        <f t="shared" si="29"/>
        <v>63.24</v>
      </c>
      <c r="P94" s="1">
        <v>47</v>
      </c>
      <c r="Q94" s="1"/>
      <c r="R94" s="1">
        <v>585.49</v>
      </c>
      <c r="S94" s="1">
        <v>313.47000000000003</v>
      </c>
      <c r="T94" s="48">
        <v>0.21824074074074074</v>
      </c>
      <c r="U94" t="s">
        <v>162</v>
      </c>
    </row>
    <row r="95" spans="7:21" x14ac:dyDescent="0.2">
      <c r="I95" t="s">
        <v>6</v>
      </c>
      <c r="J95" s="1">
        <v>60</v>
      </c>
      <c r="K95" s="1">
        <v>1</v>
      </c>
      <c r="L95" s="1">
        <v>227</v>
      </c>
      <c r="M95" s="1">
        <v>19</v>
      </c>
      <c r="N95" s="1">
        <v>240</v>
      </c>
      <c r="O95" s="51">
        <f t="shared" si="29"/>
        <v>236.88</v>
      </c>
      <c r="P95" s="1">
        <v>39</v>
      </c>
      <c r="Q95" s="1"/>
      <c r="R95" s="1">
        <v>315.8</v>
      </c>
      <c r="S95" s="1">
        <v>333.13</v>
      </c>
      <c r="T95" s="48">
        <v>0.21982638888888886</v>
      </c>
      <c r="U95" t="s">
        <v>162</v>
      </c>
    </row>
    <row r="96" spans="7:21" x14ac:dyDescent="0.2">
      <c r="I96" t="s">
        <v>5</v>
      </c>
      <c r="J96" s="1">
        <v>65</v>
      </c>
      <c r="K96" s="1">
        <v>1</v>
      </c>
      <c r="L96" s="1">
        <v>34</v>
      </c>
      <c r="M96" s="1">
        <v>1</v>
      </c>
      <c r="N96" s="1">
        <v>39</v>
      </c>
      <c r="O96" s="51">
        <f t="shared" si="29"/>
        <v>39</v>
      </c>
      <c r="P96" s="1">
        <v>0</v>
      </c>
      <c r="Q96" s="1"/>
      <c r="R96" s="1">
        <v>686.26</v>
      </c>
      <c r="S96" s="1">
        <v>317.10000000000002</v>
      </c>
      <c r="T96" s="48">
        <v>0.22790509259259259</v>
      </c>
      <c r="U96" t="s">
        <v>162</v>
      </c>
    </row>
    <row r="97" spans="9:21" x14ac:dyDescent="0.2">
      <c r="I97" t="s">
        <v>6</v>
      </c>
      <c r="J97" s="1">
        <v>66</v>
      </c>
      <c r="K97" s="1">
        <v>1</v>
      </c>
      <c r="L97" s="1">
        <v>171</v>
      </c>
      <c r="M97" s="1">
        <v>17</v>
      </c>
      <c r="N97" s="1">
        <v>175</v>
      </c>
      <c r="O97" s="51">
        <f t="shared" si="29"/>
        <v>169.32</v>
      </c>
      <c r="P97" s="1">
        <v>71</v>
      </c>
      <c r="Q97" s="1"/>
      <c r="R97" s="1">
        <v>252</v>
      </c>
      <c r="S97" s="1">
        <v>323.70999999999998</v>
      </c>
      <c r="T97" s="48">
        <v>0.22949074074074075</v>
      </c>
      <c r="U97" t="s">
        <v>162</v>
      </c>
    </row>
    <row r="98" spans="9:21" x14ac:dyDescent="0.2">
      <c r="N98" s="29">
        <f>(N88+N90+N92+N94+N96)/5</f>
        <v>52.4</v>
      </c>
      <c r="P98" s="29">
        <f>(P88+P90+P92+P94+P96)/5</f>
        <v>20.399999999999999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topLeftCell="A19" workbookViewId="0">
      <selection activeCell="M58" sqref="M58"/>
    </sheetView>
  </sheetViews>
  <sheetFormatPr defaultRowHeight="12.75" x14ac:dyDescent="0.2"/>
  <cols>
    <col min="4" max="4" width="10.140625" bestFit="1" customWidth="1"/>
    <col min="11" max="11" width="10.140625" customWidth="1"/>
    <col min="13" max="13" width="9.85546875" customWidth="1"/>
    <col min="17" max="17" width="13.7109375" customWidth="1"/>
  </cols>
  <sheetData>
    <row r="1" spans="1:1" x14ac:dyDescent="0.2">
      <c r="A1" t="s">
        <v>216</v>
      </c>
    </row>
    <row r="3" spans="1:1" x14ac:dyDescent="0.2">
      <c r="A3" t="s">
        <v>217</v>
      </c>
    </row>
    <row r="4" spans="1:1" x14ac:dyDescent="0.2">
      <c r="A4" t="s">
        <v>218</v>
      </c>
    </row>
    <row r="5" spans="1:1" x14ac:dyDescent="0.2">
      <c r="A5" t="s">
        <v>219</v>
      </c>
    </row>
    <row r="6" spans="1:1" x14ac:dyDescent="0.2">
      <c r="A6" t="s">
        <v>220</v>
      </c>
    </row>
    <row r="7" spans="1:1" x14ac:dyDescent="0.2">
      <c r="A7" t="s">
        <v>221</v>
      </c>
    </row>
    <row r="8" spans="1:1" x14ac:dyDescent="0.2">
      <c r="A8" t="s">
        <v>222</v>
      </c>
    </row>
    <row r="9" spans="1:1" x14ac:dyDescent="0.2">
      <c r="A9" t="s">
        <v>223</v>
      </c>
    </row>
    <row r="10" spans="1:1" x14ac:dyDescent="0.2">
      <c r="A10" t="s">
        <v>224</v>
      </c>
    </row>
    <row r="13" spans="1:1" x14ac:dyDescent="0.2">
      <c r="A13" t="s">
        <v>225</v>
      </c>
    </row>
    <row r="15" spans="1:1" x14ac:dyDescent="0.2">
      <c r="A15" t="s">
        <v>226</v>
      </c>
    </row>
    <row r="16" spans="1:1" x14ac:dyDescent="0.2">
      <c r="A16" t="s">
        <v>227</v>
      </c>
    </row>
    <row r="17" spans="1:1" x14ac:dyDescent="0.2">
      <c r="A17" t="s">
        <v>228</v>
      </c>
    </row>
    <row r="18" spans="1:1" x14ac:dyDescent="0.2">
      <c r="A18" t="s">
        <v>229</v>
      </c>
    </row>
    <row r="19" spans="1:1" x14ac:dyDescent="0.2">
      <c r="A19" t="s">
        <v>230</v>
      </c>
    </row>
    <row r="20" spans="1:1" x14ac:dyDescent="0.2">
      <c r="A20" t="s">
        <v>231</v>
      </c>
    </row>
    <row r="21" spans="1:1" x14ac:dyDescent="0.2">
      <c r="A21" t="s">
        <v>232</v>
      </c>
    </row>
    <row r="22" spans="1:1" x14ac:dyDescent="0.2">
      <c r="A22" t="s">
        <v>233</v>
      </c>
    </row>
    <row r="23" spans="1:1" x14ac:dyDescent="0.2">
      <c r="A23" t="s">
        <v>234</v>
      </c>
    </row>
    <row r="24" spans="1:1" x14ac:dyDescent="0.2">
      <c r="A24" t="s">
        <v>235</v>
      </c>
    </row>
    <row r="25" spans="1:1" x14ac:dyDescent="0.2">
      <c r="A25" t="s">
        <v>236</v>
      </c>
    </row>
    <row r="28" spans="1:1" x14ac:dyDescent="0.2">
      <c r="A28" t="s">
        <v>237</v>
      </c>
    </row>
    <row r="30" spans="1:1" x14ac:dyDescent="0.2">
      <c r="A30" t="s">
        <v>238</v>
      </c>
    </row>
    <row r="31" spans="1:1" x14ac:dyDescent="0.2">
      <c r="A31" t="s">
        <v>239</v>
      </c>
    </row>
    <row r="32" spans="1:1" x14ac:dyDescent="0.2">
      <c r="A32" t="s">
        <v>240</v>
      </c>
    </row>
    <row r="34" spans="1:4" x14ac:dyDescent="0.2">
      <c r="A34" t="s">
        <v>241</v>
      </c>
    </row>
    <row r="35" spans="1:4" x14ac:dyDescent="0.2">
      <c r="A35" t="s">
        <v>242</v>
      </c>
    </row>
    <row r="36" spans="1:4" x14ac:dyDescent="0.2">
      <c r="A36" t="s">
        <v>243</v>
      </c>
    </row>
    <row r="37" spans="1:4" x14ac:dyDescent="0.2">
      <c r="A37" t="s">
        <v>244</v>
      </c>
    </row>
    <row r="40" spans="1:4" x14ac:dyDescent="0.2">
      <c r="A40" t="s">
        <v>245</v>
      </c>
    </row>
    <row r="42" spans="1:4" x14ac:dyDescent="0.2">
      <c r="A42" t="s">
        <v>246</v>
      </c>
    </row>
    <row r="43" spans="1:4" x14ac:dyDescent="0.2">
      <c r="A43" t="s">
        <v>247</v>
      </c>
    </row>
    <row r="44" spans="1:4" x14ac:dyDescent="0.2">
      <c r="A44" t="s">
        <v>248</v>
      </c>
    </row>
    <row r="47" spans="1:4" ht="15" x14ac:dyDescent="0.25">
      <c r="A47" s="53" t="s">
        <v>158</v>
      </c>
      <c r="D47" s="76">
        <v>42613</v>
      </c>
    </row>
    <row r="48" spans="1:4" x14ac:dyDescent="0.2">
      <c r="A48" t="s">
        <v>157</v>
      </c>
    </row>
    <row r="49" spans="1:19" x14ac:dyDescent="0.2">
      <c r="A49" s="1" t="s">
        <v>150</v>
      </c>
      <c r="B49" s="1" t="s">
        <v>151</v>
      </c>
      <c r="C49" s="1" t="s">
        <v>152</v>
      </c>
      <c r="D49" s="1" t="s">
        <v>153</v>
      </c>
      <c r="E49" s="1" t="s">
        <v>154</v>
      </c>
      <c r="F49" s="1" t="s">
        <v>155</v>
      </c>
      <c r="G49" s="1" t="s">
        <v>156</v>
      </c>
      <c r="H49" s="1" t="s">
        <v>160</v>
      </c>
      <c r="I49" s="1" t="s">
        <v>161</v>
      </c>
      <c r="O49" t="s">
        <v>268</v>
      </c>
      <c r="P49" t="s">
        <v>269</v>
      </c>
      <c r="Q49" t="s">
        <v>270</v>
      </c>
      <c r="R49" t="s">
        <v>270</v>
      </c>
      <c r="S49" t="s">
        <v>271</v>
      </c>
    </row>
    <row r="50" spans="1:19" x14ac:dyDescent="0.2">
      <c r="A50" s="49">
        <v>1</v>
      </c>
      <c r="B50" s="49">
        <v>1</v>
      </c>
      <c r="C50" s="49">
        <v>16972</v>
      </c>
      <c r="D50" s="49">
        <v>1213</v>
      </c>
      <c r="E50" s="49">
        <v>18502</v>
      </c>
      <c r="F50" s="49">
        <v>0</v>
      </c>
      <c r="G50" s="49">
        <v>94.68</v>
      </c>
      <c r="H50" s="49">
        <v>341.14</v>
      </c>
      <c r="I50" s="61">
        <v>0.51217592592592587</v>
      </c>
      <c r="J50" s="50" t="s">
        <v>162</v>
      </c>
      <c r="K50" s="50" t="s">
        <v>249</v>
      </c>
      <c r="L50" s="50"/>
      <c r="M50" s="50"/>
      <c r="R50" t="s">
        <v>274</v>
      </c>
    </row>
    <row r="51" spans="1:19" x14ac:dyDescent="0.2">
      <c r="A51" s="49">
        <v>2</v>
      </c>
      <c r="B51" s="49">
        <v>1</v>
      </c>
      <c r="C51" s="49">
        <v>167175</v>
      </c>
      <c r="D51" s="49">
        <v>10913</v>
      </c>
      <c r="E51" s="49">
        <v>184204</v>
      </c>
      <c r="F51" s="49">
        <v>0</v>
      </c>
      <c r="G51" s="49">
        <v>91.11</v>
      </c>
      <c r="H51" s="49">
        <v>340.3</v>
      </c>
      <c r="I51" s="61">
        <v>0.51375000000000004</v>
      </c>
      <c r="J51" s="50" t="s">
        <v>162</v>
      </c>
      <c r="K51" s="50" t="s">
        <v>250</v>
      </c>
      <c r="L51" s="50"/>
      <c r="M51" s="50"/>
      <c r="N51" s="50"/>
      <c r="O51" s="8">
        <v>3</v>
      </c>
      <c r="P51" s="29">
        <f>E51/1</f>
        <v>184204</v>
      </c>
      <c r="Q51" s="29">
        <f>P51/60</f>
        <v>3070.0666666666666</v>
      </c>
      <c r="R51" s="72"/>
    </row>
    <row r="52" spans="1:19" x14ac:dyDescent="0.2">
      <c r="A52" s="49">
        <v>3</v>
      </c>
      <c r="B52" s="49">
        <v>1</v>
      </c>
      <c r="C52" s="49">
        <v>33520</v>
      </c>
      <c r="D52" s="49">
        <v>21575</v>
      </c>
      <c r="E52" s="49">
        <v>370407</v>
      </c>
      <c r="F52" s="49">
        <v>0</v>
      </c>
      <c r="G52" s="49">
        <v>91.07</v>
      </c>
      <c r="H52" s="49">
        <v>342.46</v>
      </c>
      <c r="I52" s="61">
        <v>0.51528935185185187</v>
      </c>
      <c r="J52" s="50" t="s">
        <v>162</v>
      </c>
      <c r="K52" s="50" t="s">
        <v>251</v>
      </c>
      <c r="L52" s="50"/>
      <c r="M52" s="50"/>
      <c r="N52" s="50"/>
      <c r="O52" s="8">
        <v>3</v>
      </c>
      <c r="P52" s="29">
        <f>E52/2</f>
        <v>185203.5</v>
      </c>
      <c r="Q52" s="29">
        <f>P52/60</f>
        <v>3086.7249999999999</v>
      </c>
      <c r="R52" s="72"/>
    </row>
    <row r="53" spans="1:19" x14ac:dyDescent="0.2">
      <c r="A53" s="1"/>
      <c r="B53" s="1"/>
      <c r="C53" s="1"/>
      <c r="D53" s="1"/>
      <c r="E53" s="1"/>
      <c r="F53" s="1"/>
      <c r="G53" s="1"/>
      <c r="H53" s="1"/>
      <c r="I53" s="1"/>
      <c r="O53" s="8"/>
      <c r="P53" s="8"/>
      <c r="Q53" s="71">
        <f>AVERAGE(Q51:Q52)</f>
        <v>3078.395833333333</v>
      </c>
      <c r="R53" s="73">
        <f>Q53*Q55</f>
        <v>25365.981666666667</v>
      </c>
      <c r="S53" s="7">
        <f>R53/1000</f>
        <v>25.365981666666666</v>
      </c>
    </row>
    <row r="54" spans="1:19" x14ac:dyDescent="0.2">
      <c r="A54" s="1"/>
      <c r="B54" s="1"/>
      <c r="C54" s="1"/>
      <c r="D54" s="1"/>
      <c r="E54" s="1"/>
      <c r="F54" s="1"/>
      <c r="G54" s="62"/>
      <c r="H54" s="63" t="s">
        <v>252</v>
      </c>
      <c r="I54" s="3"/>
      <c r="J54" s="64" t="s">
        <v>253</v>
      </c>
      <c r="K54" s="64"/>
      <c r="L54" s="64"/>
    </row>
    <row r="55" spans="1:1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t="s">
        <v>273</v>
      </c>
      <c r="Q55">
        <f>2*103/25</f>
        <v>8.24</v>
      </c>
    </row>
    <row r="56" spans="1:1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9" ht="15" x14ac:dyDescent="0.2">
      <c r="A57" s="1"/>
      <c r="B57" s="1"/>
      <c r="C57" s="1"/>
      <c r="D57" s="1"/>
      <c r="E57" s="65" t="s">
        <v>254</v>
      </c>
      <c r="F57" s="1"/>
      <c r="G57" s="1"/>
      <c r="H57" s="1"/>
      <c r="I57" s="1"/>
      <c r="M57" t="s">
        <v>271</v>
      </c>
      <c r="N57" t="s">
        <v>270</v>
      </c>
      <c r="P57" t="s">
        <v>272</v>
      </c>
      <c r="Q57" s="77">
        <f>0.0207607*125</f>
        <v>2.5950875</v>
      </c>
    </row>
    <row r="58" spans="1:19" ht="15" x14ac:dyDescent="0.2">
      <c r="A58" s="1"/>
      <c r="B58" s="1"/>
      <c r="C58" s="1"/>
      <c r="D58" s="1"/>
      <c r="E58" s="66" t="s">
        <v>255</v>
      </c>
      <c r="F58" s="1"/>
      <c r="G58" s="1"/>
      <c r="H58" s="1"/>
      <c r="I58" s="1"/>
      <c r="M58" s="54">
        <f>22.4/5</f>
        <v>4.4799999999999995</v>
      </c>
      <c r="N58" s="8">
        <f>M58*1000</f>
        <v>4479.9999999999991</v>
      </c>
    </row>
    <row r="59" spans="1:19" ht="15" x14ac:dyDescent="0.2">
      <c r="A59" s="1"/>
      <c r="B59" s="1"/>
      <c r="C59" s="1"/>
      <c r="D59" s="1"/>
      <c r="E59" s="66" t="s">
        <v>256</v>
      </c>
      <c r="F59" s="1"/>
      <c r="G59" s="1"/>
      <c r="H59" s="1"/>
      <c r="I59" s="1"/>
      <c r="M59" s="8">
        <f>33.58/10</f>
        <v>3.3579999999999997</v>
      </c>
      <c r="N59" s="8">
        <f>M59*1000</f>
        <v>3357.9999999999995</v>
      </c>
    </row>
    <row r="60" spans="1:19" ht="15" x14ac:dyDescent="0.2">
      <c r="A60" s="1"/>
      <c r="B60" s="1"/>
      <c r="C60" s="1"/>
      <c r="D60" s="1"/>
      <c r="E60" s="65"/>
      <c r="F60" s="1"/>
      <c r="G60" s="1"/>
      <c r="H60" s="1"/>
      <c r="I60" s="1"/>
    </row>
    <row r="61" spans="1:19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19" ht="15" x14ac:dyDescent="0.2">
      <c r="A62" s="69" t="s">
        <v>159</v>
      </c>
      <c r="B62" s="1"/>
      <c r="C62" s="1"/>
      <c r="D62" s="75">
        <v>42612</v>
      </c>
      <c r="E62" s="1"/>
      <c r="F62" s="1"/>
      <c r="G62" s="1"/>
      <c r="H62" s="1"/>
      <c r="I62" s="1"/>
    </row>
    <row r="63" spans="1:19" x14ac:dyDescent="0.2">
      <c r="A63" s="49">
        <v>67</v>
      </c>
      <c r="B63" s="49">
        <v>1</v>
      </c>
      <c r="C63" s="49">
        <v>37</v>
      </c>
      <c r="D63" s="49">
        <v>5</v>
      </c>
      <c r="E63" s="49">
        <v>36</v>
      </c>
      <c r="F63" s="49">
        <v>31</v>
      </c>
      <c r="G63" s="49">
        <v>831.26</v>
      </c>
      <c r="H63" s="49">
        <v>339.29</v>
      </c>
      <c r="I63" s="61">
        <v>0.23111111111111113</v>
      </c>
      <c r="J63" s="50" t="s">
        <v>162</v>
      </c>
      <c r="K63" s="50" t="s">
        <v>5</v>
      </c>
      <c r="L63" s="50"/>
      <c r="M63" s="50"/>
      <c r="N63" s="50"/>
      <c r="O63" t="s">
        <v>268</v>
      </c>
      <c r="P63" t="s">
        <v>269</v>
      </c>
      <c r="Q63" t="s">
        <v>270</v>
      </c>
      <c r="R63" t="s">
        <v>270</v>
      </c>
      <c r="S63" t="s">
        <v>271</v>
      </c>
    </row>
    <row r="64" spans="1:19" x14ac:dyDescent="0.2">
      <c r="A64" s="49">
        <v>68</v>
      </c>
      <c r="B64" s="49">
        <v>1</v>
      </c>
      <c r="C64" s="49">
        <v>2177</v>
      </c>
      <c r="D64" s="49">
        <v>927</v>
      </c>
      <c r="E64" s="49">
        <v>860</v>
      </c>
      <c r="F64" s="49">
        <v>10570</v>
      </c>
      <c r="G64" s="49">
        <v>662.91</v>
      </c>
      <c r="H64" s="49">
        <v>339.75</v>
      </c>
      <c r="I64" s="61">
        <v>0.23266203703703703</v>
      </c>
      <c r="J64" s="50" t="s">
        <v>162</v>
      </c>
      <c r="K64" s="50" t="s">
        <v>263</v>
      </c>
      <c r="L64" s="50"/>
      <c r="M64" s="50"/>
      <c r="R64" t="s">
        <v>274</v>
      </c>
    </row>
    <row r="65" spans="1:19" x14ac:dyDescent="0.2">
      <c r="A65" s="49">
        <v>69</v>
      </c>
      <c r="B65" s="49">
        <v>1</v>
      </c>
      <c r="C65" s="49">
        <v>20052</v>
      </c>
      <c r="D65" s="49">
        <v>8600</v>
      </c>
      <c r="E65" s="49">
        <v>7805</v>
      </c>
      <c r="F65" s="49">
        <v>98273</v>
      </c>
      <c r="G65" s="49">
        <v>656.83</v>
      </c>
      <c r="H65" s="49">
        <v>341.91</v>
      </c>
      <c r="I65" s="61">
        <v>0.23424768518518521</v>
      </c>
      <c r="J65" s="50" t="s">
        <v>162</v>
      </c>
      <c r="K65" s="50" t="s">
        <v>264</v>
      </c>
      <c r="L65" s="50"/>
      <c r="M65" s="50"/>
      <c r="N65" s="50"/>
      <c r="O65" s="8">
        <f>1+1.8+0.2</f>
        <v>3</v>
      </c>
      <c r="P65" s="29">
        <f>F65/1</f>
        <v>98273</v>
      </c>
      <c r="Q65" s="29">
        <f>P65/60</f>
        <v>1637.8833333333334</v>
      </c>
      <c r="R65" s="72"/>
    </row>
    <row r="66" spans="1:19" x14ac:dyDescent="0.2">
      <c r="A66" s="49">
        <v>70</v>
      </c>
      <c r="B66" s="49">
        <v>1</v>
      </c>
      <c r="C66" s="49">
        <v>42171</v>
      </c>
      <c r="D66" s="49">
        <v>18067</v>
      </c>
      <c r="E66" s="49">
        <v>16479</v>
      </c>
      <c r="F66" s="49">
        <v>206665</v>
      </c>
      <c r="G66" s="49">
        <v>660.98</v>
      </c>
      <c r="H66" s="49">
        <v>347.47</v>
      </c>
      <c r="I66" s="61">
        <v>0.23581018518518518</v>
      </c>
      <c r="J66" s="50" t="s">
        <v>162</v>
      </c>
      <c r="K66" s="50" t="s">
        <v>265</v>
      </c>
      <c r="L66" s="50"/>
      <c r="M66" s="50"/>
      <c r="N66" s="50"/>
      <c r="O66" s="8">
        <f>2+0.8+0.2</f>
        <v>3</v>
      </c>
      <c r="P66" s="29">
        <f>F66/2</f>
        <v>103332.5</v>
      </c>
      <c r="Q66" s="29">
        <f>P66/60</f>
        <v>1722.2083333333333</v>
      </c>
      <c r="R66" s="72"/>
    </row>
    <row r="67" spans="1:19" x14ac:dyDescent="0.2">
      <c r="A67" s="1"/>
      <c r="B67" s="1"/>
      <c r="C67" s="1"/>
      <c r="D67" s="1"/>
      <c r="E67" s="1"/>
      <c r="F67" s="1"/>
      <c r="G67" s="1"/>
      <c r="H67" s="1"/>
      <c r="I67" s="1"/>
      <c r="Q67" s="71">
        <f>AVERAGE(Q65:Q66)</f>
        <v>1680.0458333333333</v>
      </c>
      <c r="R67" s="73">
        <f>Q67*Q69</f>
        <v>23543.499433106575</v>
      </c>
      <c r="S67" s="7">
        <f>R67/1000</f>
        <v>23.543499433106575</v>
      </c>
    </row>
    <row r="68" spans="1:19" x14ac:dyDescent="0.2">
      <c r="A68" s="1"/>
      <c r="B68" s="1"/>
      <c r="C68" s="1"/>
      <c r="D68" s="1"/>
      <c r="E68" s="1"/>
      <c r="F68" s="1"/>
      <c r="G68" s="62"/>
      <c r="H68" s="63" t="s">
        <v>266</v>
      </c>
      <c r="I68" s="3"/>
      <c r="J68" s="64" t="s">
        <v>267</v>
      </c>
      <c r="K68" s="64"/>
      <c r="L68" s="64"/>
    </row>
    <row r="69" spans="1:19" x14ac:dyDescent="0.2">
      <c r="A69" s="1"/>
      <c r="B69" s="1"/>
      <c r="C69" s="1"/>
      <c r="D69" s="1"/>
      <c r="E69" s="1"/>
      <c r="F69" s="1"/>
      <c r="G69" s="1"/>
      <c r="H69" s="1"/>
      <c r="I69" s="1"/>
      <c r="P69" t="s">
        <v>273</v>
      </c>
      <c r="Q69" s="77">
        <f>2*103/14.7</f>
        <v>14.013605442176871</v>
      </c>
    </row>
    <row r="73" spans="1:19" x14ac:dyDescent="0.2">
      <c r="B73" t="s">
        <v>301</v>
      </c>
    </row>
    <row r="74" spans="1:19" x14ac:dyDescent="0.2">
      <c r="C74" t="s">
        <v>302</v>
      </c>
      <c r="D74" t="s">
        <v>270</v>
      </c>
      <c r="E74" t="s">
        <v>303</v>
      </c>
      <c r="F74" t="s">
        <v>304</v>
      </c>
    </row>
    <row r="75" spans="1:19" x14ac:dyDescent="0.2">
      <c r="B75" t="s">
        <v>158</v>
      </c>
      <c r="C75">
        <v>656242</v>
      </c>
      <c r="D75" s="31">
        <f>C75/60</f>
        <v>10937.366666666667</v>
      </c>
      <c r="E75">
        <f>56/25</f>
        <v>2.2400000000000002</v>
      </c>
      <c r="F75" s="70">
        <f>D75*E75</f>
        <v>24499.701333333334</v>
      </c>
    </row>
    <row r="76" spans="1:19" x14ac:dyDescent="0.2">
      <c r="B76" t="s">
        <v>159</v>
      </c>
      <c r="C76">
        <v>451396</v>
      </c>
      <c r="D76" s="31">
        <f>C76/60</f>
        <v>7523.2666666666664</v>
      </c>
      <c r="E76" s="56">
        <f>56/14.7</f>
        <v>3.8095238095238098</v>
      </c>
      <c r="F76" s="70">
        <f>D76*E76</f>
        <v>28660.063492063491</v>
      </c>
    </row>
    <row r="79" spans="1:19" x14ac:dyDescent="0.2">
      <c r="D79" t="s">
        <v>314</v>
      </c>
    </row>
    <row r="80" spans="1:19" ht="25.5" x14ac:dyDescent="0.2">
      <c r="J80" t="s">
        <v>271</v>
      </c>
      <c r="K80" t="s">
        <v>318</v>
      </c>
      <c r="L80" t="s">
        <v>271</v>
      </c>
      <c r="M80" s="84" t="s">
        <v>320</v>
      </c>
      <c r="N80" t="s">
        <v>308</v>
      </c>
    </row>
    <row r="81" spans="4:14" x14ac:dyDescent="0.2">
      <c r="D81" t="s">
        <v>315</v>
      </c>
      <c r="G81" t="s">
        <v>319</v>
      </c>
      <c r="J81">
        <f>167/50</f>
        <v>3.34</v>
      </c>
      <c r="K81" s="54">
        <f>J81*20</f>
        <v>66.8</v>
      </c>
      <c r="L81" s="9">
        <f>K81/640</f>
        <v>0.104375</v>
      </c>
      <c r="M81" s="72">
        <v>53.333333333333336</v>
      </c>
      <c r="N81" s="29">
        <f>K81*1000/M81</f>
        <v>1252.5</v>
      </c>
    </row>
    <row r="82" spans="4:14" x14ac:dyDescent="0.2">
      <c r="D82" t="s">
        <v>316</v>
      </c>
      <c r="G82" t="s">
        <v>317</v>
      </c>
      <c r="J82" s="56">
        <f>223.94/50</f>
        <v>4.4787999999999997</v>
      </c>
      <c r="K82" s="54">
        <f>J82*5</f>
        <v>22.393999999999998</v>
      </c>
      <c r="L82" s="9">
        <f>K82/200</f>
        <v>0.11196999999999999</v>
      </c>
      <c r="M82" s="72">
        <v>13.333333333333336</v>
      </c>
      <c r="N82" s="29">
        <f>K82*1000/M82</f>
        <v>1679.5499999999997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40" workbookViewId="0">
      <selection activeCell="F54" sqref="F54"/>
    </sheetView>
  </sheetViews>
  <sheetFormatPr defaultRowHeight="12.75" x14ac:dyDescent="0.2"/>
  <cols>
    <col min="9" max="9" width="11.140625" customWidth="1"/>
    <col min="15" max="15" width="22.140625" customWidth="1"/>
  </cols>
  <sheetData>
    <row r="1" spans="1:1" x14ac:dyDescent="0.2">
      <c r="A1" t="s">
        <v>216</v>
      </c>
    </row>
    <row r="3" spans="1:1" x14ac:dyDescent="0.2">
      <c r="A3" t="s">
        <v>217</v>
      </c>
    </row>
    <row r="4" spans="1:1" x14ac:dyDescent="0.2">
      <c r="A4" t="s">
        <v>218</v>
      </c>
    </row>
    <row r="5" spans="1:1" x14ac:dyDescent="0.2">
      <c r="A5" t="s">
        <v>219</v>
      </c>
    </row>
    <row r="6" spans="1:1" x14ac:dyDescent="0.2">
      <c r="A6" t="s">
        <v>220</v>
      </c>
    </row>
    <row r="7" spans="1:1" x14ac:dyDescent="0.2">
      <c r="A7" t="s">
        <v>275</v>
      </c>
    </row>
    <row r="8" spans="1:1" x14ac:dyDescent="0.2">
      <c r="A8" t="s">
        <v>276</v>
      </c>
    </row>
    <row r="9" spans="1:1" x14ac:dyDescent="0.2">
      <c r="A9" t="s">
        <v>277</v>
      </c>
    </row>
    <row r="10" spans="1:1" x14ac:dyDescent="0.2">
      <c r="A10" t="s">
        <v>224</v>
      </c>
    </row>
    <row r="13" spans="1:1" x14ac:dyDescent="0.2">
      <c r="A13" t="s">
        <v>225</v>
      </c>
    </row>
    <row r="15" spans="1:1" x14ac:dyDescent="0.2">
      <c r="A15" t="s">
        <v>226</v>
      </c>
    </row>
    <row r="16" spans="1:1" x14ac:dyDescent="0.2">
      <c r="A16" t="s">
        <v>227</v>
      </c>
    </row>
    <row r="17" spans="1:1" x14ac:dyDescent="0.2">
      <c r="A17" t="s">
        <v>228</v>
      </c>
    </row>
    <row r="18" spans="1:1" x14ac:dyDescent="0.2">
      <c r="A18" t="s">
        <v>229</v>
      </c>
    </row>
    <row r="19" spans="1:1" x14ac:dyDescent="0.2">
      <c r="A19" t="s">
        <v>230</v>
      </c>
    </row>
    <row r="20" spans="1:1" x14ac:dyDescent="0.2">
      <c r="A20" t="s">
        <v>231</v>
      </c>
    </row>
    <row r="21" spans="1:1" x14ac:dyDescent="0.2">
      <c r="A21" t="s">
        <v>232</v>
      </c>
    </row>
    <row r="22" spans="1:1" x14ac:dyDescent="0.2">
      <c r="A22" t="s">
        <v>278</v>
      </c>
    </row>
    <row r="23" spans="1:1" x14ac:dyDescent="0.2">
      <c r="A23" t="s">
        <v>234</v>
      </c>
    </row>
    <row r="24" spans="1:1" x14ac:dyDescent="0.2">
      <c r="A24" t="s">
        <v>235</v>
      </c>
    </row>
    <row r="25" spans="1:1" x14ac:dyDescent="0.2">
      <c r="A25" t="s">
        <v>236</v>
      </c>
    </row>
    <row r="28" spans="1:1" x14ac:dyDescent="0.2">
      <c r="A28" t="s">
        <v>237</v>
      </c>
    </row>
    <row r="30" spans="1:1" x14ac:dyDescent="0.2">
      <c r="A30" t="s">
        <v>238</v>
      </c>
    </row>
    <row r="31" spans="1:1" x14ac:dyDescent="0.2">
      <c r="A31" t="s">
        <v>239</v>
      </c>
    </row>
    <row r="32" spans="1:1" x14ac:dyDescent="0.2">
      <c r="A32" t="s">
        <v>240</v>
      </c>
    </row>
    <row r="34" spans="1:5" x14ac:dyDescent="0.2">
      <c r="A34" t="s">
        <v>241</v>
      </c>
      <c r="C34" s="78"/>
      <c r="D34" s="78"/>
      <c r="E34" s="78"/>
    </row>
    <row r="35" spans="1:5" x14ac:dyDescent="0.2">
      <c r="A35" t="s">
        <v>242</v>
      </c>
    </row>
    <row r="36" spans="1:5" x14ac:dyDescent="0.2">
      <c r="A36" t="s">
        <v>243</v>
      </c>
    </row>
    <row r="37" spans="1:5" x14ac:dyDescent="0.2">
      <c r="A37" t="s">
        <v>244</v>
      </c>
    </row>
    <row r="40" spans="1:5" x14ac:dyDescent="0.2">
      <c r="A40" t="s">
        <v>245</v>
      </c>
    </row>
    <row r="42" spans="1:5" x14ac:dyDescent="0.2">
      <c r="A42" t="s">
        <v>246</v>
      </c>
    </row>
    <row r="43" spans="1:5" x14ac:dyDescent="0.2">
      <c r="A43" t="s">
        <v>247</v>
      </c>
    </row>
    <row r="44" spans="1:5" x14ac:dyDescent="0.2">
      <c r="A44" t="s">
        <v>248</v>
      </c>
    </row>
    <row r="48" spans="1:5" x14ac:dyDescent="0.2">
      <c r="A48" t="s">
        <v>157</v>
      </c>
    </row>
    <row r="49" spans="1:16" x14ac:dyDescent="0.2">
      <c r="A49" t="s">
        <v>150</v>
      </c>
      <c r="B49" t="s">
        <v>151</v>
      </c>
      <c r="C49" t="s">
        <v>152</v>
      </c>
      <c r="D49" t="s">
        <v>153</v>
      </c>
      <c r="E49" t="s">
        <v>154</v>
      </c>
      <c r="F49" t="s">
        <v>155</v>
      </c>
      <c r="G49" t="s">
        <v>156</v>
      </c>
      <c r="H49" t="s">
        <v>160</v>
      </c>
      <c r="I49" t="s">
        <v>279</v>
      </c>
      <c r="J49" t="s">
        <v>161</v>
      </c>
    </row>
    <row r="50" spans="1:16" x14ac:dyDescent="0.2">
      <c r="A50" t="s">
        <v>280</v>
      </c>
    </row>
    <row r="51" spans="1:16" x14ac:dyDescent="0.2">
      <c r="A51" s="1">
        <v>1</v>
      </c>
      <c r="B51" s="1">
        <v>5</v>
      </c>
      <c r="C51" s="1">
        <v>32</v>
      </c>
      <c r="D51" s="1">
        <v>3</v>
      </c>
      <c r="E51" s="1">
        <v>33</v>
      </c>
      <c r="F51" s="1">
        <v>9</v>
      </c>
      <c r="G51" s="1">
        <v>976.7</v>
      </c>
      <c r="H51" s="1">
        <v>297.58</v>
      </c>
      <c r="I51" s="1"/>
      <c r="J51" s="79">
        <v>6.0949074074074072E-2</v>
      </c>
      <c r="K51" t="s">
        <v>162</v>
      </c>
      <c r="L51" s="50" t="s">
        <v>5</v>
      </c>
      <c r="M51" s="50"/>
      <c r="N51" s="50"/>
      <c r="O51" s="50"/>
      <c r="P51" s="50"/>
    </row>
    <row r="52" spans="1:16" x14ac:dyDescent="0.2">
      <c r="A52" s="1">
        <v>2</v>
      </c>
      <c r="B52" s="1">
        <v>5</v>
      </c>
      <c r="C52" s="1" t="s">
        <v>281</v>
      </c>
      <c r="D52" s="1">
        <v>38415</v>
      </c>
      <c r="E52" s="1" t="s">
        <v>281</v>
      </c>
      <c r="F52" s="1">
        <v>0</v>
      </c>
      <c r="G52" s="1">
        <v>52.26</v>
      </c>
      <c r="H52" s="1">
        <v>178.62</v>
      </c>
      <c r="I52" s="1"/>
      <c r="J52" s="79">
        <v>6.5439814814814812E-2</v>
      </c>
      <c r="K52" t="s">
        <v>162</v>
      </c>
      <c r="L52" s="50" t="s">
        <v>282</v>
      </c>
      <c r="M52" s="50" t="s">
        <v>283</v>
      </c>
      <c r="N52" s="80" t="s">
        <v>284</v>
      </c>
      <c r="O52" s="50"/>
      <c r="P52" s="50"/>
    </row>
    <row r="53" spans="1:16" x14ac:dyDescent="0.2">
      <c r="A53" s="1">
        <v>3</v>
      </c>
      <c r="B53" s="1">
        <v>5</v>
      </c>
      <c r="C53" s="1">
        <v>49886</v>
      </c>
      <c r="D53" s="1">
        <v>3297</v>
      </c>
      <c r="E53" s="1">
        <v>53656</v>
      </c>
      <c r="F53" s="1">
        <v>2393</v>
      </c>
      <c r="G53" s="1">
        <v>83.05</v>
      </c>
      <c r="H53" s="1">
        <v>298.08</v>
      </c>
      <c r="I53" s="1"/>
      <c r="J53" s="79">
        <v>7.1192129629629633E-2</v>
      </c>
      <c r="K53" t="s">
        <v>162</v>
      </c>
      <c r="L53" s="81" t="s">
        <v>285</v>
      </c>
      <c r="M53" s="81" t="s">
        <v>286</v>
      </c>
      <c r="N53" s="50" t="s">
        <v>287</v>
      </c>
      <c r="O53" s="50"/>
      <c r="P53" s="50"/>
    </row>
    <row r="54" spans="1:16" x14ac:dyDescent="0.2">
      <c r="A54" s="1">
        <v>4</v>
      </c>
      <c r="B54" s="1">
        <v>5</v>
      </c>
      <c r="C54" s="1">
        <v>497287</v>
      </c>
      <c r="D54" s="1">
        <v>30562</v>
      </c>
      <c r="E54" s="1">
        <v>539848</v>
      </c>
      <c r="F54" s="1">
        <v>0</v>
      </c>
      <c r="G54" s="1">
        <v>81.47</v>
      </c>
      <c r="H54" s="1">
        <v>299.73</v>
      </c>
      <c r="I54" s="1"/>
      <c r="J54" s="79">
        <v>7.5844907407407403E-2</v>
      </c>
      <c r="K54" t="s">
        <v>162</v>
      </c>
      <c r="L54" s="81" t="s">
        <v>288</v>
      </c>
      <c r="M54" s="81" t="s">
        <v>286</v>
      </c>
      <c r="N54" s="50" t="s">
        <v>289</v>
      </c>
      <c r="O54" s="50"/>
      <c r="P54" s="50"/>
    </row>
    <row r="55" spans="1:16" x14ac:dyDescent="0.2">
      <c r="A55" s="1">
        <v>5</v>
      </c>
      <c r="B55" s="1">
        <v>5</v>
      </c>
      <c r="C55" s="1">
        <v>992614</v>
      </c>
      <c r="D55" s="1">
        <v>58651</v>
      </c>
      <c r="E55" s="1" t="s">
        <v>281</v>
      </c>
      <c r="F55" s="1">
        <v>0</v>
      </c>
      <c r="G55" s="1">
        <v>82.09</v>
      </c>
      <c r="H55" s="1">
        <v>305.54000000000002</v>
      </c>
      <c r="I55" s="1"/>
      <c r="J55" s="79">
        <v>8.0729166666666671E-2</v>
      </c>
      <c r="K55" t="s">
        <v>162</v>
      </c>
      <c r="L55" s="81" t="s">
        <v>290</v>
      </c>
      <c r="M55" s="81" t="s">
        <v>286</v>
      </c>
      <c r="N55" s="80" t="s">
        <v>291</v>
      </c>
      <c r="O55" s="50"/>
      <c r="P55" s="50"/>
    </row>
    <row r="56" spans="1:16" x14ac:dyDescent="0.2">
      <c r="A56" s="1">
        <v>6</v>
      </c>
      <c r="B56" s="1">
        <v>5</v>
      </c>
      <c r="C56" s="1">
        <v>10562</v>
      </c>
      <c r="D56" s="1">
        <v>5811</v>
      </c>
      <c r="E56" s="1">
        <v>1381</v>
      </c>
      <c r="F56" s="1">
        <v>68167</v>
      </c>
      <c r="G56" s="1">
        <v>643.62</v>
      </c>
      <c r="H56" s="1">
        <v>299.35000000000002</v>
      </c>
      <c r="I56" s="1"/>
      <c r="J56" s="79">
        <v>8.6134259259259258E-2</v>
      </c>
      <c r="K56" t="s">
        <v>162</v>
      </c>
      <c r="L56" s="82" t="s">
        <v>292</v>
      </c>
      <c r="M56" s="82" t="s">
        <v>293</v>
      </c>
      <c r="N56" s="50" t="s">
        <v>287</v>
      </c>
      <c r="O56" s="50"/>
      <c r="P56" s="50"/>
    </row>
    <row r="57" spans="1:16" x14ac:dyDescent="0.2">
      <c r="A57" s="1">
        <v>7</v>
      </c>
      <c r="B57" s="1">
        <v>5</v>
      </c>
      <c r="C57" s="1">
        <v>98387</v>
      </c>
      <c r="D57" s="1">
        <v>54988</v>
      </c>
      <c r="E57" s="1">
        <v>12777</v>
      </c>
      <c r="F57" s="1">
        <v>652260</v>
      </c>
      <c r="G57" s="1">
        <v>667.99</v>
      </c>
      <c r="H57" s="1">
        <v>316.92</v>
      </c>
      <c r="I57" s="1"/>
      <c r="J57" s="79">
        <v>9.076388888888888E-2</v>
      </c>
      <c r="K57" t="s">
        <v>162</v>
      </c>
      <c r="L57" s="82" t="s">
        <v>294</v>
      </c>
      <c r="M57" s="82" t="s">
        <v>293</v>
      </c>
      <c r="N57" s="50" t="s">
        <v>289</v>
      </c>
      <c r="O57" s="50"/>
      <c r="P57" s="50"/>
    </row>
    <row r="58" spans="1:16" x14ac:dyDescent="0.2">
      <c r="A58" s="1">
        <v>8</v>
      </c>
      <c r="B58" s="1">
        <v>5</v>
      </c>
      <c r="C58" s="1">
        <v>200356</v>
      </c>
      <c r="D58" s="1">
        <v>111980</v>
      </c>
      <c r="E58" s="1">
        <v>26855</v>
      </c>
      <c r="F58" s="1" t="s">
        <v>281</v>
      </c>
      <c r="G58" s="1">
        <v>712.7</v>
      </c>
      <c r="H58" s="1">
        <v>338.89</v>
      </c>
      <c r="I58" s="1"/>
      <c r="J58" s="79">
        <v>9.5775462962962965E-2</v>
      </c>
      <c r="K58" t="s">
        <v>162</v>
      </c>
      <c r="L58" s="82" t="s">
        <v>295</v>
      </c>
      <c r="M58" s="82" t="s">
        <v>293</v>
      </c>
      <c r="N58" s="50" t="s">
        <v>296</v>
      </c>
      <c r="O58" s="50"/>
      <c r="P58" s="50"/>
    </row>
    <row r="59" spans="1:16" x14ac:dyDescent="0.2">
      <c r="A59" s="1">
        <v>9</v>
      </c>
      <c r="B59" s="1">
        <v>5</v>
      </c>
      <c r="C59" s="1">
        <v>5109</v>
      </c>
      <c r="D59" s="1">
        <v>2814</v>
      </c>
      <c r="E59" s="1">
        <v>656</v>
      </c>
      <c r="F59" s="1">
        <v>32990</v>
      </c>
      <c r="G59" s="1">
        <v>643.69000000000005</v>
      </c>
      <c r="H59" s="1">
        <v>297.86</v>
      </c>
      <c r="I59" s="1"/>
      <c r="J59" s="79">
        <v>0.10135416666666668</v>
      </c>
      <c r="K59" t="s">
        <v>162</v>
      </c>
      <c r="L59" s="83" t="s">
        <v>292</v>
      </c>
      <c r="M59" s="83" t="s">
        <v>297</v>
      </c>
      <c r="N59" s="50" t="s">
        <v>287</v>
      </c>
      <c r="O59" s="50"/>
      <c r="P59" s="50"/>
    </row>
    <row r="60" spans="1:16" x14ac:dyDescent="0.2">
      <c r="A60" s="1">
        <v>10</v>
      </c>
      <c r="B60" s="1">
        <v>5</v>
      </c>
      <c r="C60" s="1">
        <v>48578</v>
      </c>
      <c r="D60" s="1">
        <v>27114</v>
      </c>
      <c r="E60" s="1">
        <v>6581</v>
      </c>
      <c r="F60" s="1">
        <v>323607</v>
      </c>
      <c r="G60" s="1">
        <v>701.01</v>
      </c>
      <c r="H60" s="1">
        <v>332.56</v>
      </c>
      <c r="I60" s="1"/>
      <c r="J60" s="79">
        <v>0.10604166666666666</v>
      </c>
      <c r="K60" t="s">
        <v>162</v>
      </c>
      <c r="L60" s="83" t="s">
        <v>294</v>
      </c>
      <c r="M60" s="83" t="s">
        <v>297</v>
      </c>
      <c r="N60" s="50" t="s">
        <v>289</v>
      </c>
      <c r="O60" s="50"/>
      <c r="P60" s="50"/>
    </row>
    <row r="61" spans="1:16" x14ac:dyDescent="0.2">
      <c r="A61" s="1">
        <v>11</v>
      </c>
      <c r="B61" s="1">
        <v>5</v>
      </c>
      <c r="C61" s="1">
        <v>148449</v>
      </c>
      <c r="D61" s="1">
        <v>37126</v>
      </c>
      <c r="E61" s="1">
        <v>112705</v>
      </c>
      <c r="F61" s="1">
        <v>354366</v>
      </c>
      <c r="G61" s="1">
        <v>728.91</v>
      </c>
      <c r="H61" s="1">
        <v>429.48</v>
      </c>
      <c r="I61" s="1" t="s">
        <v>298</v>
      </c>
      <c r="J61" s="79">
        <v>0.11046296296296297</v>
      </c>
      <c r="K61" t="s">
        <v>162</v>
      </c>
      <c r="L61" s="83" t="s">
        <v>295</v>
      </c>
      <c r="M61" s="83" t="s">
        <v>299</v>
      </c>
      <c r="N61" s="80" t="s">
        <v>300</v>
      </c>
      <c r="O61" s="50"/>
      <c r="P61" s="5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workbookViewId="0">
      <selection sqref="A1:D113"/>
    </sheetView>
  </sheetViews>
  <sheetFormatPr defaultRowHeight="12.75" x14ac:dyDescent="0.2"/>
  <sheetData>
    <row r="1" spans="1:4" x14ac:dyDescent="0.2">
      <c r="A1" t="s">
        <v>109</v>
      </c>
      <c r="B1" t="s">
        <v>346</v>
      </c>
      <c r="C1" t="s">
        <v>347</v>
      </c>
      <c r="D1" t="s">
        <v>348</v>
      </c>
    </row>
    <row r="2" spans="1:4" x14ac:dyDescent="0.2">
      <c r="A2" t="s">
        <v>349</v>
      </c>
      <c r="B2" t="s">
        <v>350</v>
      </c>
      <c r="C2">
        <v>72.400000000000006</v>
      </c>
      <c r="D2">
        <v>6.4</v>
      </c>
    </row>
    <row r="3" spans="1:4" x14ac:dyDescent="0.2">
      <c r="A3" t="s">
        <v>349</v>
      </c>
      <c r="B3" t="s">
        <v>350</v>
      </c>
      <c r="C3">
        <v>73.099999999999994</v>
      </c>
      <c r="D3">
        <v>7.1</v>
      </c>
    </row>
    <row r="4" spans="1:4" x14ac:dyDescent="0.2">
      <c r="A4" t="s">
        <v>349</v>
      </c>
      <c r="B4" t="s">
        <v>350</v>
      </c>
      <c r="C4">
        <v>73.5</v>
      </c>
      <c r="D4">
        <v>7.5</v>
      </c>
    </row>
    <row r="5" spans="1:4" x14ac:dyDescent="0.2">
      <c r="A5" t="s">
        <v>349</v>
      </c>
      <c r="B5" t="s">
        <v>350</v>
      </c>
      <c r="C5">
        <v>71.900000000000006</v>
      </c>
      <c r="D5">
        <v>5.9</v>
      </c>
    </row>
    <row r="6" spans="1:4" x14ac:dyDescent="0.2">
      <c r="A6" t="s">
        <v>334</v>
      </c>
      <c r="B6" t="s">
        <v>350</v>
      </c>
      <c r="C6">
        <v>69.2</v>
      </c>
      <c r="D6">
        <v>3.2</v>
      </c>
    </row>
    <row r="7" spans="1:4" x14ac:dyDescent="0.2">
      <c r="A7" t="s">
        <v>351</v>
      </c>
      <c r="B7" t="s">
        <v>350</v>
      </c>
      <c r="C7">
        <v>74.2</v>
      </c>
      <c r="D7">
        <v>8.1999999999999993</v>
      </c>
    </row>
    <row r="8" spans="1:4" x14ac:dyDescent="0.2">
      <c r="A8" t="s">
        <v>351</v>
      </c>
      <c r="B8" t="s">
        <v>350</v>
      </c>
      <c r="C8">
        <v>75.099999999999994</v>
      </c>
      <c r="D8">
        <v>9.1</v>
      </c>
    </row>
    <row r="9" spans="1:4" x14ac:dyDescent="0.2">
      <c r="A9" t="s">
        <v>349</v>
      </c>
      <c r="B9" t="s">
        <v>350</v>
      </c>
      <c r="C9">
        <v>72.599999999999994</v>
      </c>
      <c r="D9">
        <v>6.6</v>
      </c>
    </row>
    <row r="10" spans="1:4" x14ac:dyDescent="0.2">
      <c r="A10" t="s">
        <v>349</v>
      </c>
      <c r="B10" t="s">
        <v>350</v>
      </c>
      <c r="C10">
        <v>73.3</v>
      </c>
      <c r="D10">
        <v>7.3</v>
      </c>
    </row>
    <row r="11" spans="1:4" x14ac:dyDescent="0.2">
      <c r="A11" t="s">
        <v>349</v>
      </c>
      <c r="B11" t="s">
        <v>350</v>
      </c>
      <c r="C11">
        <v>73.2</v>
      </c>
      <c r="D11">
        <v>7.2</v>
      </c>
    </row>
    <row r="12" spans="1:4" x14ac:dyDescent="0.2">
      <c r="A12" t="s">
        <v>349</v>
      </c>
      <c r="B12" t="s">
        <v>350</v>
      </c>
      <c r="C12">
        <v>71.2</v>
      </c>
      <c r="D12">
        <v>5.2</v>
      </c>
    </row>
    <row r="13" spans="1:4" x14ac:dyDescent="0.2">
      <c r="A13" t="s">
        <v>334</v>
      </c>
      <c r="B13" t="s">
        <v>350</v>
      </c>
      <c r="C13">
        <v>68.599999999999994</v>
      </c>
      <c r="D13">
        <v>2.6</v>
      </c>
    </row>
    <row r="14" spans="1:4" x14ac:dyDescent="0.2">
      <c r="A14" t="s">
        <v>351</v>
      </c>
      <c r="B14" t="s">
        <v>350</v>
      </c>
      <c r="C14">
        <v>75.2</v>
      </c>
      <c r="D14">
        <v>9.1999999999999993</v>
      </c>
    </row>
    <row r="15" spans="1:4" x14ac:dyDescent="0.2">
      <c r="A15" t="s">
        <v>351</v>
      </c>
      <c r="B15" t="s">
        <v>350</v>
      </c>
      <c r="C15">
        <v>74.900000000000006</v>
      </c>
      <c r="D15">
        <v>8.9</v>
      </c>
    </row>
    <row r="16" spans="1:4" x14ac:dyDescent="0.2">
      <c r="A16" t="s">
        <v>349</v>
      </c>
      <c r="B16" t="s">
        <v>350</v>
      </c>
      <c r="C16">
        <v>74</v>
      </c>
      <c r="D16">
        <v>8</v>
      </c>
    </row>
    <row r="17" spans="1:4" x14ac:dyDescent="0.2">
      <c r="A17" t="s">
        <v>349</v>
      </c>
      <c r="B17" t="s">
        <v>350</v>
      </c>
      <c r="C17">
        <v>73.2</v>
      </c>
      <c r="D17">
        <v>7.2</v>
      </c>
    </row>
    <row r="18" spans="1:4" x14ac:dyDescent="0.2">
      <c r="A18" t="s">
        <v>349</v>
      </c>
      <c r="B18" t="s">
        <v>350</v>
      </c>
      <c r="C18">
        <v>71.900000000000006</v>
      </c>
      <c r="D18">
        <v>5.9</v>
      </c>
    </row>
    <row r="19" spans="1:4" x14ac:dyDescent="0.2">
      <c r="A19" t="s">
        <v>349</v>
      </c>
      <c r="B19" t="s">
        <v>350</v>
      </c>
      <c r="C19">
        <v>72.400000000000006</v>
      </c>
      <c r="D19">
        <v>6.4</v>
      </c>
    </row>
    <row r="20" spans="1:4" x14ac:dyDescent="0.2">
      <c r="A20" t="s">
        <v>334</v>
      </c>
      <c r="B20" t="s">
        <v>350</v>
      </c>
      <c r="C20">
        <v>67.8</v>
      </c>
      <c r="D20">
        <v>1.8</v>
      </c>
    </row>
    <row r="21" spans="1:4" x14ac:dyDescent="0.2">
      <c r="A21" t="s">
        <v>351</v>
      </c>
      <c r="B21" t="s">
        <v>350</v>
      </c>
      <c r="C21">
        <v>73.8</v>
      </c>
      <c r="D21">
        <v>7.8</v>
      </c>
    </row>
    <row r="22" spans="1:4" x14ac:dyDescent="0.2">
      <c r="A22" t="s">
        <v>351</v>
      </c>
      <c r="B22" t="s">
        <v>350</v>
      </c>
      <c r="C22">
        <v>74.900000000000006</v>
      </c>
      <c r="D22">
        <v>8.9</v>
      </c>
    </row>
    <row r="23" spans="1:4" x14ac:dyDescent="0.2">
      <c r="A23" t="s">
        <v>349</v>
      </c>
      <c r="B23" t="s">
        <v>350</v>
      </c>
      <c r="C23">
        <v>71.900000000000006</v>
      </c>
      <c r="D23">
        <v>5.9</v>
      </c>
    </row>
    <row r="24" spans="1:4" x14ac:dyDescent="0.2">
      <c r="A24" t="s">
        <v>349</v>
      </c>
      <c r="B24" t="s">
        <v>350</v>
      </c>
      <c r="C24">
        <v>72.5</v>
      </c>
      <c r="D24">
        <v>6.5</v>
      </c>
    </row>
    <row r="25" spans="1:4" x14ac:dyDescent="0.2">
      <c r="A25" t="s">
        <v>349</v>
      </c>
      <c r="B25" t="s">
        <v>350</v>
      </c>
      <c r="C25">
        <v>73.2</v>
      </c>
      <c r="D25">
        <v>7.2</v>
      </c>
    </row>
    <row r="26" spans="1:4" x14ac:dyDescent="0.2">
      <c r="A26" t="s">
        <v>349</v>
      </c>
      <c r="B26" t="s">
        <v>350</v>
      </c>
      <c r="C26">
        <v>73.7</v>
      </c>
      <c r="D26">
        <v>7.7</v>
      </c>
    </row>
    <row r="27" spans="1:4" x14ac:dyDescent="0.2">
      <c r="A27" t="s">
        <v>334</v>
      </c>
      <c r="B27" t="s">
        <v>350</v>
      </c>
      <c r="C27">
        <v>70</v>
      </c>
      <c r="D27">
        <v>4</v>
      </c>
    </row>
    <row r="28" spans="1:4" x14ac:dyDescent="0.2">
      <c r="A28" t="s">
        <v>351</v>
      </c>
      <c r="B28" t="s">
        <v>350</v>
      </c>
      <c r="C28">
        <v>73.900000000000006</v>
      </c>
      <c r="D28">
        <v>7.9</v>
      </c>
    </row>
    <row r="29" spans="1:4" x14ac:dyDescent="0.2">
      <c r="A29" t="s">
        <v>351</v>
      </c>
      <c r="B29" t="s">
        <v>350</v>
      </c>
      <c r="C29">
        <v>74.2</v>
      </c>
      <c r="D29">
        <v>8.1999999999999993</v>
      </c>
    </row>
    <row r="30" spans="1:4" x14ac:dyDescent="0.2">
      <c r="A30" t="s">
        <v>349</v>
      </c>
      <c r="B30" t="s">
        <v>352</v>
      </c>
      <c r="C30">
        <v>73.599999999999994</v>
      </c>
      <c r="D30">
        <v>7.6</v>
      </c>
    </row>
    <row r="31" spans="1:4" x14ac:dyDescent="0.2">
      <c r="A31" t="s">
        <v>349</v>
      </c>
      <c r="B31" t="s">
        <v>352</v>
      </c>
      <c r="C31">
        <v>73.400000000000006</v>
      </c>
      <c r="D31">
        <v>7.4</v>
      </c>
    </row>
    <row r="32" spans="1:4" x14ac:dyDescent="0.2">
      <c r="A32" t="s">
        <v>349</v>
      </c>
      <c r="B32" t="s">
        <v>352</v>
      </c>
      <c r="C32">
        <v>72.900000000000006</v>
      </c>
      <c r="D32">
        <v>6.9</v>
      </c>
    </row>
    <row r="33" spans="1:4" x14ac:dyDescent="0.2">
      <c r="A33" t="s">
        <v>349</v>
      </c>
      <c r="B33" t="s">
        <v>352</v>
      </c>
      <c r="C33">
        <v>72.5</v>
      </c>
      <c r="D33">
        <v>6.5</v>
      </c>
    </row>
    <row r="34" spans="1:4" x14ac:dyDescent="0.2">
      <c r="A34" t="s">
        <v>334</v>
      </c>
      <c r="B34" t="s">
        <v>352</v>
      </c>
      <c r="C34">
        <v>70.3</v>
      </c>
      <c r="D34">
        <v>4.3</v>
      </c>
    </row>
    <row r="35" spans="1:4" x14ac:dyDescent="0.2">
      <c r="A35" t="s">
        <v>351</v>
      </c>
      <c r="B35" t="s">
        <v>352</v>
      </c>
      <c r="C35">
        <v>73.900000000000006</v>
      </c>
      <c r="D35">
        <v>7.9</v>
      </c>
    </row>
    <row r="36" spans="1:4" x14ac:dyDescent="0.2">
      <c r="A36" t="s">
        <v>351</v>
      </c>
      <c r="B36" t="s">
        <v>352</v>
      </c>
      <c r="C36">
        <v>76.2</v>
      </c>
      <c r="D36">
        <v>10.199999999999999</v>
      </c>
    </row>
    <row r="37" spans="1:4" x14ac:dyDescent="0.2">
      <c r="A37" t="s">
        <v>349</v>
      </c>
      <c r="B37" t="s">
        <v>352</v>
      </c>
      <c r="C37">
        <v>72.7</v>
      </c>
      <c r="D37">
        <v>6.7</v>
      </c>
    </row>
    <row r="38" spans="1:4" x14ac:dyDescent="0.2">
      <c r="A38" t="s">
        <v>349</v>
      </c>
      <c r="B38" t="s">
        <v>352</v>
      </c>
      <c r="C38">
        <v>73.900000000000006</v>
      </c>
      <c r="D38">
        <v>7.9</v>
      </c>
    </row>
    <row r="39" spans="1:4" x14ac:dyDescent="0.2">
      <c r="A39" t="s">
        <v>349</v>
      </c>
      <c r="B39" t="s">
        <v>352</v>
      </c>
      <c r="C39">
        <v>72.099999999999994</v>
      </c>
      <c r="D39">
        <v>6.1</v>
      </c>
    </row>
    <row r="40" spans="1:4" x14ac:dyDescent="0.2">
      <c r="A40" t="s">
        <v>349</v>
      </c>
      <c r="B40" t="s">
        <v>352</v>
      </c>
      <c r="C40">
        <v>70.8</v>
      </c>
      <c r="D40">
        <v>4.8</v>
      </c>
    </row>
    <row r="41" spans="1:4" x14ac:dyDescent="0.2">
      <c r="A41" t="s">
        <v>334</v>
      </c>
      <c r="B41" t="s">
        <v>352</v>
      </c>
      <c r="C41">
        <v>67.900000000000006</v>
      </c>
      <c r="D41">
        <v>1.9</v>
      </c>
    </row>
    <row r="42" spans="1:4" x14ac:dyDescent="0.2">
      <c r="A42" t="s">
        <v>351</v>
      </c>
      <c r="B42" t="s">
        <v>352</v>
      </c>
      <c r="C42">
        <v>74.599999999999994</v>
      </c>
      <c r="D42">
        <v>8.6</v>
      </c>
    </row>
    <row r="43" spans="1:4" x14ac:dyDescent="0.2">
      <c r="A43" t="s">
        <v>351</v>
      </c>
      <c r="B43" t="s">
        <v>352</v>
      </c>
      <c r="C43">
        <v>74.3</v>
      </c>
      <c r="D43">
        <v>8.3000000000000007</v>
      </c>
    </row>
    <row r="44" spans="1:4" x14ac:dyDescent="0.2">
      <c r="A44" t="s">
        <v>349</v>
      </c>
      <c r="B44" t="s">
        <v>352</v>
      </c>
      <c r="C44">
        <v>72.8</v>
      </c>
      <c r="D44">
        <v>6.8</v>
      </c>
    </row>
    <row r="45" spans="1:4" x14ac:dyDescent="0.2">
      <c r="A45" t="s">
        <v>349</v>
      </c>
      <c r="B45" t="s">
        <v>352</v>
      </c>
      <c r="C45">
        <v>73.099999999999994</v>
      </c>
      <c r="D45">
        <v>7.1</v>
      </c>
    </row>
    <row r="46" spans="1:4" x14ac:dyDescent="0.2">
      <c r="A46" t="s">
        <v>349</v>
      </c>
      <c r="B46" t="s">
        <v>352</v>
      </c>
      <c r="C46">
        <v>71.7</v>
      </c>
      <c r="D46">
        <v>5.7</v>
      </c>
    </row>
    <row r="47" spans="1:4" x14ac:dyDescent="0.2">
      <c r="A47" t="s">
        <v>349</v>
      </c>
      <c r="B47" t="s">
        <v>352</v>
      </c>
      <c r="C47">
        <v>72.8</v>
      </c>
      <c r="D47">
        <v>6.8</v>
      </c>
    </row>
    <row r="48" spans="1:4" x14ac:dyDescent="0.2">
      <c r="A48" t="s">
        <v>334</v>
      </c>
      <c r="B48" t="s">
        <v>352</v>
      </c>
      <c r="C48">
        <v>69</v>
      </c>
      <c r="D48">
        <v>3</v>
      </c>
    </row>
    <row r="49" spans="1:4" x14ac:dyDescent="0.2">
      <c r="A49" t="s">
        <v>351</v>
      </c>
      <c r="B49" t="s">
        <v>352</v>
      </c>
      <c r="C49">
        <v>73.7</v>
      </c>
      <c r="D49">
        <v>7.7</v>
      </c>
    </row>
    <row r="50" spans="1:4" x14ac:dyDescent="0.2">
      <c r="A50" t="s">
        <v>351</v>
      </c>
      <c r="B50" t="s">
        <v>352</v>
      </c>
      <c r="C50">
        <v>74.8</v>
      </c>
      <c r="D50">
        <v>8.8000000000000007</v>
      </c>
    </row>
    <row r="51" spans="1:4" x14ac:dyDescent="0.2">
      <c r="A51" t="s">
        <v>349</v>
      </c>
      <c r="B51" t="s">
        <v>352</v>
      </c>
      <c r="C51">
        <v>71.7</v>
      </c>
      <c r="D51">
        <v>5.7</v>
      </c>
    </row>
    <row r="52" spans="1:4" x14ac:dyDescent="0.2">
      <c r="A52" t="s">
        <v>349</v>
      </c>
      <c r="B52" t="s">
        <v>352</v>
      </c>
      <c r="C52">
        <v>72.3</v>
      </c>
      <c r="D52">
        <v>6.3</v>
      </c>
    </row>
    <row r="53" spans="1:4" x14ac:dyDescent="0.2">
      <c r="A53" t="s">
        <v>349</v>
      </c>
      <c r="B53" t="s">
        <v>352</v>
      </c>
      <c r="C53">
        <v>73.400000000000006</v>
      </c>
      <c r="D53">
        <v>7.4</v>
      </c>
    </row>
    <row r="54" spans="1:4" x14ac:dyDescent="0.2">
      <c r="A54" t="s">
        <v>349</v>
      </c>
      <c r="B54" t="s">
        <v>352</v>
      </c>
      <c r="C54">
        <v>73.2</v>
      </c>
      <c r="D54">
        <v>7.2</v>
      </c>
    </row>
    <row r="55" spans="1:4" x14ac:dyDescent="0.2">
      <c r="A55" t="s">
        <v>334</v>
      </c>
      <c r="B55" t="s">
        <v>352</v>
      </c>
      <c r="C55">
        <v>70.2</v>
      </c>
      <c r="D55">
        <v>4.2</v>
      </c>
    </row>
    <row r="56" spans="1:4" x14ac:dyDescent="0.2">
      <c r="A56" t="s">
        <v>351</v>
      </c>
      <c r="B56" t="s">
        <v>352</v>
      </c>
      <c r="C56">
        <v>73.7</v>
      </c>
      <c r="D56">
        <v>7.7</v>
      </c>
    </row>
    <row r="57" spans="1:4" x14ac:dyDescent="0.2">
      <c r="A57" t="s">
        <v>351</v>
      </c>
      <c r="B57" t="s">
        <v>352</v>
      </c>
      <c r="C57">
        <v>73.099999999999994</v>
      </c>
      <c r="D57">
        <v>7.1</v>
      </c>
    </row>
    <row r="58" spans="1:4" x14ac:dyDescent="0.2">
      <c r="A58" t="s">
        <v>349</v>
      </c>
      <c r="B58" t="s">
        <v>353</v>
      </c>
      <c r="C58">
        <v>71.8</v>
      </c>
      <c r="D58">
        <v>5.8</v>
      </c>
    </row>
    <row r="59" spans="1:4" x14ac:dyDescent="0.2">
      <c r="A59" t="s">
        <v>349</v>
      </c>
      <c r="B59" t="s">
        <v>353</v>
      </c>
      <c r="C59">
        <v>72.5</v>
      </c>
      <c r="D59">
        <v>6.5</v>
      </c>
    </row>
    <row r="60" spans="1:4" x14ac:dyDescent="0.2">
      <c r="A60" t="s">
        <v>349</v>
      </c>
      <c r="B60" t="s">
        <v>353</v>
      </c>
      <c r="C60">
        <v>71.3</v>
      </c>
      <c r="D60">
        <v>5.3</v>
      </c>
    </row>
    <row r="61" spans="1:4" x14ac:dyDescent="0.2">
      <c r="A61" t="s">
        <v>349</v>
      </c>
      <c r="B61" t="s">
        <v>353</v>
      </c>
      <c r="C61">
        <v>71.599999999999994</v>
      </c>
      <c r="D61">
        <v>5.6</v>
      </c>
    </row>
    <row r="62" spans="1:4" x14ac:dyDescent="0.2">
      <c r="A62" t="s">
        <v>334</v>
      </c>
      <c r="B62" t="s">
        <v>353</v>
      </c>
      <c r="C62">
        <v>69.8</v>
      </c>
      <c r="D62">
        <v>3.8</v>
      </c>
    </row>
    <row r="63" spans="1:4" x14ac:dyDescent="0.2">
      <c r="A63" t="s">
        <v>351</v>
      </c>
      <c r="B63" t="s">
        <v>353</v>
      </c>
      <c r="C63">
        <v>72.099999999999994</v>
      </c>
      <c r="D63">
        <v>6.1</v>
      </c>
    </row>
    <row r="64" spans="1:4" x14ac:dyDescent="0.2">
      <c r="A64" t="s">
        <v>351</v>
      </c>
      <c r="B64" t="s">
        <v>353</v>
      </c>
      <c r="C64">
        <v>74.3</v>
      </c>
      <c r="D64">
        <v>8.3000000000000007</v>
      </c>
    </row>
    <row r="65" spans="1:4" x14ac:dyDescent="0.2">
      <c r="A65" t="s">
        <v>349</v>
      </c>
      <c r="B65" t="s">
        <v>353</v>
      </c>
      <c r="C65">
        <v>70.5</v>
      </c>
      <c r="D65">
        <v>4.5</v>
      </c>
    </row>
    <row r="66" spans="1:4" x14ac:dyDescent="0.2">
      <c r="A66" t="s">
        <v>349</v>
      </c>
      <c r="B66" t="s">
        <v>353</v>
      </c>
      <c r="C66">
        <v>71.2</v>
      </c>
      <c r="D66">
        <v>5.2</v>
      </c>
    </row>
    <row r="67" spans="1:4" x14ac:dyDescent="0.2">
      <c r="A67" t="s">
        <v>349</v>
      </c>
      <c r="B67" t="s">
        <v>353</v>
      </c>
      <c r="C67">
        <v>72.599999999999994</v>
      </c>
      <c r="D67">
        <v>6.6</v>
      </c>
    </row>
    <row r="68" spans="1:4" x14ac:dyDescent="0.2">
      <c r="A68" t="s">
        <v>349</v>
      </c>
      <c r="B68" t="s">
        <v>353</v>
      </c>
      <c r="C68">
        <v>68.7</v>
      </c>
      <c r="D68">
        <v>2.7</v>
      </c>
    </row>
    <row r="69" spans="1:4" x14ac:dyDescent="0.2">
      <c r="A69" t="s">
        <v>334</v>
      </c>
      <c r="B69" t="s">
        <v>353</v>
      </c>
      <c r="C69">
        <v>66.3</v>
      </c>
      <c r="D69">
        <v>3.3</v>
      </c>
    </row>
    <row r="70" spans="1:4" x14ac:dyDescent="0.2">
      <c r="A70" t="s">
        <v>351</v>
      </c>
      <c r="B70" t="s">
        <v>353</v>
      </c>
      <c r="C70">
        <v>73.099999999999994</v>
      </c>
      <c r="D70">
        <v>7.1</v>
      </c>
    </row>
    <row r="71" spans="1:4" x14ac:dyDescent="0.2">
      <c r="A71" t="s">
        <v>351</v>
      </c>
      <c r="B71" t="s">
        <v>353</v>
      </c>
      <c r="C71">
        <v>72.3</v>
      </c>
      <c r="D71">
        <v>6.3</v>
      </c>
    </row>
    <row r="72" spans="1:4" x14ac:dyDescent="0.2">
      <c r="A72" t="s">
        <v>349</v>
      </c>
      <c r="B72" t="s">
        <v>353</v>
      </c>
      <c r="C72">
        <v>71.2</v>
      </c>
      <c r="D72">
        <v>5.2</v>
      </c>
    </row>
    <row r="73" spans="1:4" x14ac:dyDescent="0.2">
      <c r="A73" t="s">
        <v>349</v>
      </c>
      <c r="B73" t="s">
        <v>353</v>
      </c>
      <c r="C73">
        <v>72.099999999999994</v>
      </c>
      <c r="D73">
        <v>6.1</v>
      </c>
    </row>
    <row r="74" spans="1:4" x14ac:dyDescent="0.2">
      <c r="A74" t="s">
        <v>349</v>
      </c>
      <c r="B74" t="s">
        <v>353</v>
      </c>
      <c r="C74">
        <v>70.3</v>
      </c>
      <c r="D74">
        <v>4.3</v>
      </c>
    </row>
    <row r="75" spans="1:4" x14ac:dyDescent="0.2">
      <c r="A75" t="s">
        <v>349</v>
      </c>
      <c r="B75" t="s">
        <v>353</v>
      </c>
      <c r="C75">
        <v>71.400000000000006</v>
      </c>
      <c r="D75">
        <v>5.4</v>
      </c>
    </row>
    <row r="76" spans="1:4" x14ac:dyDescent="0.2">
      <c r="A76" t="s">
        <v>334</v>
      </c>
      <c r="B76" t="s">
        <v>353</v>
      </c>
      <c r="C76">
        <v>67.3</v>
      </c>
      <c r="D76">
        <v>2.2999999999999998</v>
      </c>
    </row>
    <row r="77" spans="1:4" x14ac:dyDescent="0.2">
      <c r="A77" t="s">
        <v>351</v>
      </c>
      <c r="B77" t="s">
        <v>353</v>
      </c>
      <c r="C77">
        <v>72.5</v>
      </c>
      <c r="D77">
        <v>6.5</v>
      </c>
    </row>
    <row r="78" spans="1:4" x14ac:dyDescent="0.2">
      <c r="A78" t="s">
        <v>351</v>
      </c>
      <c r="B78" t="s">
        <v>353</v>
      </c>
      <c r="C78">
        <v>73.5</v>
      </c>
      <c r="D78">
        <v>7.5</v>
      </c>
    </row>
    <row r="79" spans="1:4" x14ac:dyDescent="0.2">
      <c r="A79" t="s">
        <v>349</v>
      </c>
      <c r="B79" t="s">
        <v>353</v>
      </c>
      <c r="C79">
        <v>70.2</v>
      </c>
      <c r="D79">
        <v>4.2</v>
      </c>
    </row>
    <row r="80" spans="1:4" x14ac:dyDescent="0.2">
      <c r="A80" t="s">
        <v>349</v>
      </c>
      <c r="B80" t="s">
        <v>353</v>
      </c>
      <c r="C80">
        <v>71</v>
      </c>
      <c r="D80">
        <v>5</v>
      </c>
    </row>
    <row r="81" spans="1:4" x14ac:dyDescent="0.2">
      <c r="A81" t="s">
        <v>349</v>
      </c>
      <c r="B81" t="s">
        <v>353</v>
      </c>
      <c r="C81">
        <v>71.900000000000006</v>
      </c>
      <c r="D81">
        <v>5.9</v>
      </c>
    </row>
    <row r="82" spans="1:4" x14ac:dyDescent="0.2">
      <c r="A82" t="s">
        <v>349</v>
      </c>
      <c r="B82" t="s">
        <v>353</v>
      </c>
      <c r="C82">
        <v>71.8</v>
      </c>
      <c r="D82">
        <v>5.8</v>
      </c>
    </row>
    <row r="83" spans="1:4" x14ac:dyDescent="0.2">
      <c r="A83" t="s">
        <v>334</v>
      </c>
      <c r="B83" t="s">
        <v>353</v>
      </c>
      <c r="C83">
        <v>67.3</v>
      </c>
      <c r="D83">
        <v>1.3</v>
      </c>
    </row>
    <row r="84" spans="1:4" x14ac:dyDescent="0.2">
      <c r="A84" t="s">
        <v>351</v>
      </c>
      <c r="B84" t="s">
        <v>353</v>
      </c>
      <c r="C84">
        <v>71.900000000000006</v>
      </c>
      <c r="D84">
        <v>5.9</v>
      </c>
    </row>
    <row r="85" spans="1:4" x14ac:dyDescent="0.2">
      <c r="A85" t="s">
        <v>351</v>
      </c>
      <c r="B85" t="s">
        <v>353</v>
      </c>
      <c r="C85">
        <v>72</v>
      </c>
      <c r="D85">
        <v>6</v>
      </c>
    </row>
    <row r="86" spans="1:4" x14ac:dyDescent="0.2">
      <c r="A86" t="s">
        <v>349</v>
      </c>
      <c r="B86" t="s">
        <v>354</v>
      </c>
      <c r="C86">
        <v>70.3</v>
      </c>
      <c r="D86">
        <v>4.3</v>
      </c>
    </row>
    <row r="87" spans="1:4" x14ac:dyDescent="0.2">
      <c r="A87" t="s">
        <v>349</v>
      </c>
      <c r="B87" t="s">
        <v>354</v>
      </c>
      <c r="C87">
        <v>72</v>
      </c>
      <c r="D87">
        <v>6</v>
      </c>
    </row>
    <row r="88" spans="1:4" x14ac:dyDescent="0.2">
      <c r="A88" t="s">
        <v>349</v>
      </c>
      <c r="B88" t="s">
        <v>354</v>
      </c>
      <c r="C88">
        <v>71.400000000000006</v>
      </c>
      <c r="D88">
        <v>5.4</v>
      </c>
    </row>
    <row r="89" spans="1:4" x14ac:dyDescent="0.2">
      <c r="A89" t="s">
        <v>349</v>
      </c>
      <c r="B89" t="s">
        <v>354</v>
      </c>
      <c r="C89">
        <v>70.3</v>
      </c>
      <c r="D89">
        <v>4.3</v>
      </c>
    </row>
    <row r="90" spans="1:4" x14ac:dyDescent="0.2">
      <c r="A90" t="s">
        <v>334</v>
      </c>
      <c r="B90" t="s">
        <v>354</v>
      </c>
      <c r="C90">
        <v>67.3</v>
      </c>
      <c r="D90">
        <v>1.3</v>
      </c>
    </row>
    <row r="91" spans="1:4" x14ac:dyDescent="0.2">
      <c r="A91" t="s">
        <v>351</v>
      </c>
      <c r="B91" t="s">
        <v>354</v>
      </c>
      <c r="C91">
        <v>71.2</v>
      </c>
      <c r="D91">
        <v>5.2</v>
      </c>
    </row>
    <row r="92" spans="1:4" x14ac:dyDescent="0.2">
      <c r="A92" t="s">
        <v>351</v>
      </c>
      <c r="B92" t="s">
        <v>354</v>
      </c>
      <c r="C92">
        <v>72.900000000000006</v>
      </c>
      <c r="D92">
        <v>6.9</v>
      </c>
    </row>
    <row r="93" spans="1:4" x14ac:dyDescent="0.2">
      <c r="A93" t="s">
        <v>349</v>
      </c>
      <c r="B93" t="s">
        <v>354</v>
      </c>
      <c r="C93">
        <v>69.5</v>
      </c>
      <c r="D93">
        <v>3.5</v>
      </c>
    </row>
    <row r="94" spans="1:4" x14ac:dyDescent="0.2">
      <c r="A94" t="s">
        <v>349</v>
      </c>
      <c r="B94" t="s">
        <v>354</v>
      </c>
      <c r="C94">
        <v>70.900000000000006</v>
      </c>
      <c r="D94">
        <v>4.9000000000000004</v>
      </c>
    </row>
    <row r="95" spans="1:4" x14ac:dyDescent="0.2">
      <c r="A95" t="s">
        <v>349</v>
      </c>
      <c r="B95" t="s">
        <v>354</v>
      </c>
      <c r="C95">
        <v>72.099999999999994</v>
      </c>
      <c r="D95">
        <v>6.1</v>
      </c>
    </row>
    <row r="96" spans="1:4" x14ac:dyDescent="0.2">
      <c r="A96" t="s">
        <v>349</v>
      </c>
      <c r="B96" t="s">
        <v>354</v>
      </c>
      <c r="C96">
        <v>69.7</v>
      </c>
      <c r="D96">
        <v>3.7</v>
      </c>
    </row>
    <row r="97" spans="1:4" x14ac:dyDescent="0.2">
      <c r="A97" t="s">
        <v>334</v>
      </c>
      <c r="B97" t="s">
        <v>354</v>
      </c>
      <c r="C97">
        <v>67.5</v>
      </c>
      <c r="D97">
        <v>1.5</v>
      </c>
    </row>
    <row r="98" spans="1:4" x14ac:dyDescent="0.2">
      <c r="A98" t="s">
        <v>351</v>
      </c>
      <c r="B98" t="s">
        <v>354</v>
      </c>
      <c r="C98">
        <v>73.400000000000006</v>
      </c>
      <c r="D98">
        <v>7.4</v>
      </c>
    </row>
    <row r="99" spans="1:4" x14ac:dyDescent="0.2">
      <c r="A99" t="s">
        <v>351</v>
      </c>
      <c r="B99" t="s">
        <v>354</v>
      </c>
      <c r="C99">
        <v>71.900000000000006</v>
      </c>
      <c r="D99">
        <v>5.9</v>
      </c>
    </row>
    <row r="100" spans="1:4" x14ac:dyDescent="0.2">
      <c r="A100" t="s">
        <v>349</v>
      </c>
      <c r="B100" t="s">
        <v>354</v>
      </c>
      <c r="C100">
        <v>70.8</v>
      </c>
      <c r="D100">
        <v>4.8</v>
      </c>
    </row>
    <row r="101" spans="1:4" x14ac:dyDescent="0.2">
      <c r="A101" t="s">
        <v>349</v>
      </c>
      <c r="B101" t="s">
        <v>354</v>
      </c>
      <c r="C101">
        <v>72.5</v>
      </c>
      <c r="D101">
        <v>6.5</v>
      </c>
    </row>
    <row r="102" spans="1:4" x14ac:dyDescent="0.2">
      <c r="A102" t="s">
        <v>349</v>
      </c>
      <c r="B102" t="s">
        <v>354</v>
      </c>
      <c r="C102">
        <v>70</v>
      </c>
      <c r="D102">
        <v>4</v>
      </c>
    </row>
    <row r="103" spans="1:4" x14ac:dyDescent="0.2">
      <c r="A103" t="s">
        <v>349</v>
      </c>
      <c r="B103" t="s">
        <v>354</v>
      </c>
      <c r="C103">
        <v>71.3</v>
      </c>
      <c r="D103">
        <v>5.3</v>
      </c>
    </row>
    <row r="104" spans="1:4" x14ac:dyDescent="0.2">
      <c r="A104" t="s">
        <v>334</v>
      </c>
      <c r="B104" t="s">
        <v>354</v>
      </c>
      <c r="C104">
        <v>66.900000000000006</v>
      </c>
      <c r="D104">
        <v>0.9</v>
      </c>
    </row>
    <row r="105" spans="1:4" x14ac:dyDescent="0.2">
      <c r="A105" t="s">
        <v>351</v>
      </c>
      <c r="B105" t="s">
        <v>354</v>
      </c>
      <c r="C105">
        <v>71.900000000000006</v>
      </c>
      <c r="D105">
        <v>5.9</v>
      </c>
    </row>
    <row r="106" spans="1:4" x14ac:dyDescent="0.2">
      <c r="A106" t="s">
        <v>351</v>
      </c>
      <c r="B106" t="s">
        <v>354</v>
      </c>
      <c r="C106">
        <v>73.2</v>
      </c>
      <c r="D106">
        <v>7.2</v>
      </c>
    </row>
    <row r="107" spans="1:4" x14ac:dyDescent="0.2">
      <c r="A107" t="s">
        <v>349</v>
      </c>
      <c r="B107" t="s">
        <v>354</v>
      </c>
      <c r="C107">
        <v>70</v>
      </c>
      <c r="D107">
        <v>4</v>
      </c>
    </row>
    <row r="108" spans="1:4" x14ac:dyDescent="0.2">
      <c r="A108" t="s">
        <v>349</v>
      </c>
      <c r="B108" t="s">
        <v>354</v>
      </c>
      <c r="C108">
        <v>71.5</v>
      </c>
      <c r="D108">
        <v>5.5</v>
      </c>
    </row>
    <row r="109" spans="1:4" x14ac:dyDescent="0.2">
      <c r="A109" t="s">
        <v>349</v>
      </c>
      <c r="B109" t="s">
        <v>354</v>
      </c>
      <c r="C109">
        <v>72</v>
      </c>
      <c r="D109">
        <v>6</v>
      </c>
    </row>
    <row r="110" spans="1:4" x14ac:dyDescent="0.2">
      <c r="A110" t="s">
        <v>349</v>
      </c>
      <c r="B110" t="s">
        <v>354</v>
      </c>
      <c r="C110">
        <v>72.099999999999994</v>
      </c>
      <c r="D110">
        <v>6.1</v>
      </c>
    </row>
    <row r="111" spans="1:4" x14ac:dyDescent="0.2">
      <c r="A111" t="s">
        <v>334</v>
      </c>
      <c r="B111" t="s">
        <v>354</v>
      </c>
      <c r="C111">
        <v>68</v>
      </c>
      <c r="D111">
        <v>2</v>
      </c>
    </row>
    <row r="112" spans="1:4" x14ac:dyDescent="0.2">
      <c r="A112" t="s">
        <v>351</v>
      </c>
      <c r="B112" t="s">
        <v>354</v>
      </c>
      <c r="C112">
        <v>71.3</v>
      </c>
      <c r="D112">
        <v>5.3</v>
      </c>
    </row>
    <row r="113" spans="1:4" x14ac:dyDescent="0.2">
      <c r="A113" t="s">
        <v>351</v>
      </c>
      <c r="B113" t="s">
        <v>354</v>
      </c>
      <c r="C113">
        <v>71.8</v>
      </c>
      <c r="D113">
        <v>5.8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Fertiliser calcs</vt:lpstr>
      <vt:lpstr>In situ counts</vt:lpstr>
      <vt:lpstr>dry weights</vt:lpstr>
      <vt:lpstr>Sheet1</vt:lpstr>
      <vt:lpstr>digest</vt:lpstr>
      <vt:lpstr>Count data</vt:lpstr>
      <vt:lpstr>P standards count</vt:lpstr>
      <vt:lpstr>count of solutions used</vt:lpstr>
      <vt:lpstr>moisture</vt:lpstr>
      <vt:lpstr>PC, PF% &amp; Pf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Carruthers</dc:creator>
  <cp:lastModifiedBy>%username%</cp:lastModifiedBy>
  <cp:lastPrinted>2018-10-29T05:42:17Z</cp:lastPrinted>
  <dcterms:created xsi:type="dcterms:W3CDTF">2016-08-01T05:36:29Z</dcterms:created>
  <dcterms:modified xsi:type="dcterms:W3CDTF">2018-11-25T23:12:06Z</dcterms:modified>
</cp:coreProperties>
</file>