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I2703" i="1" l="1"/>
  <c r="I2702" i="1"/>
  <c r="I2701" i="1"/>
  <c r="I2700" i="1"/>
  <c r="I2699" i="1"/>
  <c r="I2698" i="1"/>
  <c r="I2697" i="1"/>
  <c r="I2696" i="1"/>
  <c r="I2695" i="1"/>
  <c r="I2694" i="1"/>
  <c r="I2693" i="1"/>
  <c r="I2690" i="1"/>
  <c r="I2689" i="1"/>
  <c r="I2688" i="1"/>
  <c r="I2687" i="1"/>
  <c r="I2686" i="1"/>
  <c r="I2685" i="1"/>
  <c r="I2684" i="1"/>
  <c r="I2683" i="1"/>
  <c r="I2682" i="1"/>
  <c r="I2681" i="1"/>
  <c r="I2680" i="1"/>
  <c r="I2679" i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6" i="1"/>
  <c r="I2555" i="1"/>
  <c r="I2554" i="1"/>
  <c r="I2553" i="1"/>
  <c r="I2552" i="1"/>
  <c r="I2551" i="1"/>
  <c r="I2550" i="1"/>
  <c r="I2549" i="1"/>
  <c r="I2548" i="1"/>
  <c r="I2547" i="1"/>
  <c r="I2545" i="1"/>
  <c r="I2544" i="1"/>
  <c r="I2543" i="1"/>
  <c r="I2542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4" i="1"/>
  <c r="I2483" i="1"/>
  <c r="I2482" i="1"/>
  <c r="I2481" i="1"/>
  <c r="I2480" i="1"/>
  <c r="I2479" i="1"/>
  <c r="I2478" i="1"/>
  <c r="H2478" i="1"/>
  <c r="I2477" i="1"/>
  <c r="H2477" i="1"/>
  <c r="I2476" i="1"/>
  <c r="I2475" i="1"/>
  <c r="I2473" i="1"/>
  <c r="I2472" i="1"/>
  <c r="I2471" i="1"/>
  <c r="I2470" i="1"/>
  <c r="I2469" i="1"/>
  <c r="I2468" i="1"/>
  <c r="I2467" i="1"/>
  <c r="I2466" i="1"/>
  <c r="I2465" i="1"/>
  <c r="I2464" i="1"/>
  <c r="I2463" i="1"/>
  <c r="I2461" i="1"/>
  <c r="I2460" i="1"/>
  <c r="I2459" i="1"/>
  <c r="I2458" i="1"/>
  <c r="I2456" i="1"/>
  <c r="I2453" i="1"/>
  <c r="I2452" i="1"/>
  <c r="I2451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3" i="1"/>
  <c r="I2292" i="1"/>
  <c r="I2291" i="1"/>
  <c r="I2290" i="1"/>
  <c r="I2289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H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2" i="1"/>
  <c r="I2141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7" i="1"/>
  <c r="I2016" i="1"/>
  <c r="I2015" i="1"/>
  <c r="I2014" i="1"/>
  <c r="I2013" i="1"/>
  <c r="I2012" i="1"/>
  <c r="I2011" i="1"/>
  <c r="I2010" i="1"/>
  <c r="I2009" i="1"/>
  <c r="H1778" i="1"/>
  <c r="H1777" i="1"/>
  <c r="H1437" i="1"/>
  <c r="H1423" i="1"/>
  <c r="H1323" i="1"/>
  <c r="H1310" i="1"/>
  <c r="I1292" i="1"/>
  <c r="H1287" i="1"/>
  <c r="H1283" i="1"/>
  <c r="I1278" i="1"/>
  <c r="H1278" i="1"/>
  <c r="I1277" i="1"/>
  <c r="H1277" i="1"/>
  <c r="I1276" i="1"/>
  <c r="H1276" i="1"/>
  <c r="I1275" i="1"/>
  <c r="H1275" i="1"/>
  <c r="I1274" i="1"/>
  <c r="H1274" i="1"/>
  <c r="H1255" i="1"/>
  <c r="H1248" i="1"/>
  <c r="H1242" i="1"/>
  <c r="H1238" i="1"/>
  <c r="I1187" i="1"/>
  <c r="H1158" i="1"/>
  <c r="I1109" i="1"/>
  <c r="I1106" i="1"/>
  <c r="H1106" i="1"/>
  <c r="I1105" i="1"/>
  <c r="H1105" i="1"/>
  <c r="I1104" i="1"/>
  <c r="H1104" i="1"/>
  <c r="I1101" i="1"/>
  <c r="H1101" i="1"/>
  <c r="I1099" i="1"/>
  <c r="I1094" i="1"/>
  <c r="I1089" i="1"/>
  <c r="I1084" i="1"/>
  <c r="I1079" i="1"/>
  <c r="I1074" i="1"/>
  <c r="I1069" i="1"/>
  <c r="H1069" i="1"/>
  <c r="H1064" i="1"/>
  <c r="I1059" i="1"/>
  <c r="H1054" i="1"/>
  <c r="I1049" i="1"/>
  <c r="I1044" i="1"/>
  <c r="H1044" i="1"/>
  <c r="I1039" i="1"/>
  <c r="I1034" i="1"/>
  <c r="H1034" i="1"/>
  <c r="I1029" i="1"/>
  <c r="I1019" i="1"/>
  <c r="I1014" i="1"/>
  <c r="I1009" i="1"/>
  <c r="I1004" i="1"/>
  <c r="I999" i="1"/>
  <c r="I996" i="1"/>
  <c r="I995" i="1"/>
  <c r="I994" i="1"/>
  <c r="H994" i="1"/>
  <c r="I989" i="1"/>
  <c r="I984" i="1"/>
  <c r="I979" i="1"/>
  <c r="I974" i="1"/>
  <c r="I969" i="1"/>
  <c r="I964" i="1"/>
  <c r="I959" i="1"/>
  <c r="I954" i="1"/>
  <c r="I944" i="1"/>
  <c r="I939" i="1"/>
  <c r="I934" i="1"/>
  <c r="I929" i="1"/>
  <c r="I924" i="1"/>
  <c r="I922" i="1"/>
  <c r="I919" i="1"/>
  <c r="I914" i="1"/>
  <c r="I909" i="1"/>
  <c r="I905" i="1"/>
  <c r="H905" i="1"/>
  <c r="I904" i="1"/>
  <c r="H904" i="1"/>
  <c r="I899" i="1"/>
  <c r="I894" i="1"/>
  <c r="I889" i="1"/>
  <c r="I884" i="1"/>
  <c r="I879" i="1"/>
  <c r="I874" i="1"/>
  <c r="I869" i="1"/>
  <c r="I864" i="1"/>
  <c r="I859" i="1"/>
  <c r="I854" i="1"/>
  <c r="I849" i="1"/>
  <c r="I844" i="1"/>
  <c r="I841" i="1"/>
  <c r="H841" i="1"/>
  <c r="I839" i="1"/>
  <c r="I834" i="1"/>
  <c r="I829" i="1"/>
  <c r="I824" i="1"/>
  <c r="I819" i="1"/>
  <c r="I814" i="1"/>
  <c r="I809" i="1"/>
  <c r="I804" i="1"/>
  <c r="I799" i="1"/>
  <c r="I794" i="1"/>
  <c r="H794" i="1"/>
  <c r="I789" i="1"/>
  <c r="I784" i="1"/>
  <c r="I779" i="1"/>
  <c r="I774" i="1"/>
  <c r="I769" i="1"/>
  <c r="I764" i="1"/>
  <c r="I759" i="1"/>
  <c r="I754" i="1"/>
  <c r="I749" i="1"/>
  <c r="I744" i="1"/>
  <c r="I739" i="1"/>
  <c r="I734" i="1"/>
  <c r="I729" i="1"/>
  <c r="I728" i="1"/>
  <c r="H728" i="1"/>
  <c r="I727" i="1"/>
  <c r="H727" i="1"/>
  <c r="I726" i="1"/>
  <c r="H726" i="1"/>
  <c r="I725" i="1"/>
  <c r="H725" i="1"/>
  <c r="I724" i="1"/>
  <c r="I723" i="1"/>
  <c r="H723" i="1"/>
  <c r="I722" i="1"/>
  <c r="H722" i="1"/>
  <c r="I721" i="1"/>
  <c r="H721" i="1"/>
  <c r="I720" i="1"/>
  <c r="H720" i="1"/>
  <c r="I719" i="1"/>
  <c r="H719" i="1"/>
  <c r="I718" i="1"/>
  <c r="H718" i="1"/>
  <c r="I717" i="1"/>
  <c r="H717" i="1"/>
  <c r="I716" i="1"/>
  <c r="H716" i="1"/>
  <c r="I715" i="1"/>
  <c r="H715" i="1"/>
  <c r="I714" i="1"/>
  <c r="H714" i="1"/>
  <c r="I712" i="1"/>
  <c r="I711" i="1"/>
  <c r="I710" i="1"/>
  <c r="H710" i="1"/>
  <c r="I709" i="1"/>
  <c r="H709" i="1"/>
  <c r="I708" i="1"/>
  <c r="H708" i="1"/>
  <c r="I707" i="1"/>
  <c r="H707" i="1"/>
  <c r="I706" i="1"/>
  <c r="H706" i="1"/>
  <c r="I705" i="1"/>
  <c r="H705" i="1"/>
  <c r="I704" i="1"/>
  <c r="H704" i="1"/>
  <c r="I703" i="1"/>
  <c r="H703" i="1"/>
  <c r="I702" i="1"/>
  <c r="H702" i="1"/>
  <c r="I701" i="1"/>
  <c r="H701" i="1"/>
  <c r="I700" i="1"/>
  <c r="H700" i="1"/>
  <c r="I699" i="1"/>
  <c r="H699" i="1"/>
  <c r="I698" i="1"/>
  <c r="H698" i="1"/>
  <c r="I697" i="1"/>
  <c r="H697" i="1"/>
  <c r="I696" i="1"/>
  <c r="H696" i="1"/>
  <c r="I695" i="1"/>
  <c r="H695" i="1"/>
  <c r="I694" i="1"/>
  <c r="H694" i="1"/>
  <c r="I693" i="1"/>
  <c r="H693" i="1"/>
  <c r="I692" i="1"/>
  <c r="H692" i="1"/>
  <c r="I691" i="1"/>
  <c r="H691" i="1"/>
  <c r="I690" i="1"/>
  <c r="H690" i="1"/>
  <c r="I689" i="1"/>
  <c r="H689" i="1"/>
  <c r="I688" i="1"/>
  <c r="H688" i="1"/>
  <c r="I687" i="1"/>
  <c r="H687" i="1"/>
  <c r="I686" i="1"/>
  <c r="H686" i="1"/>
  <c r="I685" i="1"/>
  <c r="H685" i="1"/>
  <c r="I684" i="1"/>
  <c r="H684" i="1"/>
  <c r="I683" i="1"/>
  <c r="H683" i="1"/>
  <c r="I682" i="1"/>
  <c r="H682" i="1"/>
  <c r="I680" i="1"/>
  <c r="H680" i="1"/>
  <c r="I678" i="1"/>
  <c r="H678" i="1"/>
  <c r="I677" i="1"/>
  <c r="H677" i="1"/>
  <c r="I676" i="1"/>
  <c r="H676" i="1"/>
  <c r="I675" i="1"/>
  <c r="H675" i="1"/>
  <c r="I674" i="1"/>
  <c r="H674" i="1"/>
  <c r="I673" i="1"/>
  <c r="H673" i="1"/>
  <c r="I672" i="1"/>
  <c r="H672" i="1"/>
  <c r="I671" i="1"/>
  <c r="H671" i="1"/>
  <c r="I670" i="1"/>
  <c r="H670" i="1"/>
  <c r="I669" i="1"/>
  <c r="H669" i="1"/>
  <c r="I668" i="1"/>
  <c r="H668" i="1"/>
  <c r="I667" i="1"/>
  <c r="H667" i="1"/>
  <c r="I666" i="1"/>
  <c r="H666" i="1"/>
  <c r="I665" i="1"/>
  <c r="H665" i="1"/>
  <c r="I664" i="1"/>
  <c r="H664" i="1"/>
  <c r="I663" i="1"/>
  <c r="H663" i="1"/>
  <c r="I662" i="1"/>
  <c r="H662" i="1"/>
  <c r="I661" i="1"/>
  <c r="H661" i="1"/>
  <c r="I660" i="1"/>
  <c r="H660" i="1"/>
  <c r="I659" i="1"/>
  <c r="H659" i="1"/>
  <c r="I658" i="1"/>
  <c r="H658" i="1"/>
  <c r="I657" i="1"/>
  <c r="H657" i="1"/>
  <c r="I656" i="1"/>
  <c r="H656" i="1"/>
  <c r="I655" i="1"/>
  <c r="H655" i="1"/>
  <c r="I654" i="1"/>
  <c r="H654" i="1"/>
  <c r="I653" i="1"/>
  <c r="H653" i="1"/>
  <c r="I652" i="1"/>
  <c r="H652" i="1"/>
  <c r="I651" i="1"/>
  <c r="H651" i="1"/>
  <c r="I650" i="1"/>
  <c r="H650" i="1"/>
  <c r="I649" i="1"/>
  <c r="H649" i="1"/>
  <c r="I648" i="1"/>
  <c r="H648" i="1"/>
  <c r="I647" i="1"/>
  <c r="H647" i="1"/>
  <c r="I646" i="1"/>
  <c r="H646" i="1"/>
  <c r="I645" i="1"/>
  <c r="H645" i="1"/>
  <c r="I644" i="1"/>
  <c r="H644" i="1"/>
  <c r="I522" i="1"/>
  <c r="H522" i="1"/>
  <c r="I517" i="1"/>
  <c r="H517" i="1"/>
  <c r="I482" i="1"/>
  <c r="H482" i="1"/>
  <c r="I462" i="1"/>
  <c r="H462" i="1"/>
  <c r="I461" i="1"/>
  <c r="H461" i="1"/>
  <c r="I442" i="1"/>
  <c r="I402" i="1"/>
  <c r="I397" i="1"/>
  <c r="I377" i="1"/>
  <c r="H377" i="1"/>
  <c r="I373" i="1"/>
  <c r="H373" i="1"/>
  <c r="I292" i="1"/>
  <c r="I278" i="1"/>
  <c r="H278" i="1"/>
  <c r="I277" i="1"/>
  <c r="I255" i="1"/>
  <c r="I222" i="1"/>
  <c r="H222" i="1"/>
  <c r="I212" i="1"/>
  <c r="H212" i="1"/>
  <c r="I197" i="1"/>
  <c r="H197" i="1"/>
  <c r="I187" i="1"/>
  <c r="I182" i="1"/>
  <c r="H182" i="1"/>
  <c r="I172" i="1"/>
  <c r="I132" i="1"/>
  <c r="I122" i="1"/>
  <c r="I33" i="1"/>
  <c r="H33" i="1"/>
  <c r="I32" i="1"/>
  <c r="I12" i="1"/>
</calcChain>
</file>

<file path=xl/sharedStrings.xml><?xml version="1.0" encoding="utf-8"?>
<sst xmlns="http://schemas.openxmlformats.org/spreadsheetml/2006/main" count="5414" uniqueCount="555">
  <si>
    <t>LGA</t>
  </si>
  <si>
    <t>State</t>
  </si>
  <si>
    <t>Year</t>
  </si>
  <si>
    <t>Remoteness</t>
  </si>
  <si>
    <t>population</t>
  </si>
  <si>
    <t>atsi%</t>
  </si>
  <si>
    <t>nesb%</t>
  </si>
  <si>
    <t>density</t>
  </si>
  <si>
    <t>Minimum</t>
  </si>
  <si>
    <t>Maximum</t>
  </si>
  <si>
    <t xml:space="preserve">Albury </t>
  </si>
  <si>
    <t>NSW</t>
  </si>
  <si>
    <t>Armidale Regional</t>
  </si>
  <si>
    <t xml:space="preserve">Ballina </t>
  </si>
  <si>
    <t xml:space="preserve">Balranald </t>
  </si>
  <si>
    <t>Bathurst Regional</t>
  </si>
  <si>
    <t>Bayside</t>
  </si>
  <si>
    <t xml:space="preserve">Bega Valley </t>
  </si>
  <si>
    <t xml:space="preserve">Bellingen </t>
  </si>
  <si>
    <t xml:space="preserve">Berrigan </t>
  </si>
  <si>
    <t xml:space="preserve">Blacktown </t>
  </si>
  <si>
    <t xml:space="preserve">Bland </t>
  </si>
  <si>
    <t xml:space="preserve">Blayney </t>
  </si>
  <si>
    <t xml:space="preserve">Blue Mountains </t>
  </si>
  <si>
    <t xml:space="preserve">Bogan </t>
  </si>
  <si>
    <t xml:space="preserve">Bourke </t>
  </si>
  <si>
    <t xml:space="preserve">Brewarrina </t>
  </si>
  <si>
    <t xml:space="preserve">Broken Hill </t>
  </si>
  <si>
    <t>Burwood</t>
  </si>
  <si>
    <t xml:space="preserve">Byron </t>
  </si>
  <si>
    <t>Cabonne</t>
  </si>
  <si>
    <t>Camden</t>
  </si>
  <si>
    <t xml:space="preserve">Campbelltown </t>
  </si>
  <si>
    <t xml:space="preserve">Canada Bay </t>
  </si>
  <si>
    <t>Canterbury-Bankstown</t>
  </si>
  <si>
    <t xml:space="preserve">Carrathool </t>
  </si>
  <si>
    <t>Central Coast</t>
  </si>
  <si>
    <t xml:space="preserve">Central Darling </t>
  </si>
  <si>
    <t xml:space="preserve">Cessnock </t>
  </si>
  <si>
    <t>Clarence Valley</t>
  </si>
  <si>
    <t xml:space="preserve">Cobar </t>
  </si>
  <si>
    <t xml:space="preserve">Coffs Harbour </t>
  </si>
  <si>
    <t xml:space="preserve">Coolamon </t>
  </si>
  <si>
    <t xml:space="preserve">Coonamble </t>
  </si>
  <si>
    <t>Cootamundra-Gundagai</t>
  </si>
  <si>
    <t xml:space="preserve">Cowra </t>
  </si>
  <si>
    <t>Cumberland</t>
  </si>
  <si>
    <t>Dubbo Regional</t>
  </si>
  <si>
    <t xml:space="preserve">Dungog </t>
  </si>
  <si>
    <t>Edward River</t>
  </si>
  <si>
    <t xml:space="preserve">Eurobodalla </t>
  </si>
  <si>
    <t xml:space="preserve">Fairfield </t>
  </si>
  <si>
    <t>Federation</t>
  </si>
  <si>
    <t xml:space="preserve">Forbes </t>
  </si>
  <si>
    <t>Georges River</t>
  </si>
  <si>
    <t xml:space="preserve">Gilgandra </t>
  </si>
  <si>
    <t>Glen Innes Severn</t>
  </si>
  <si>
    <t>Goulburn Mulwaree</t>
  </si>
  <si>
    <t xml:space="preserve">Greater Hume </t>
  </si>
  <si>
    <t xml:space="preserve">Griffith </t>
  </si>
  <si>
    <t xml:space="preserve">Gunnedah </t>
  </si>
  <si>
    <t xml:space="preserve">Gwydir </t>
  </si>
  <si>
    <t xml:space="preserve">Hawkesbury </t>
  </si>
  <si>
    <t xml:space="preserve">Hay </t>
  </si>
  <si>
    <t xml:space="preserve">Hills </t>
  </si>
  <si>
    <t>Hilltops</t>
  </si>
  <si>
    <t xml:space="preserve">Hornsby </t>
  </si>
  <si>
    <t xml:space="preserve">Hunters Hill </t>
  </si>
  <si>
    <t>Inner West</t>
  </si>
  <si>
    <t xml:space="preserve">Inverell </t>
  </si>
  <si>
    <t xml:space="preserve">Junee </t>
  </si>
  <si>
    <t xml:space="preserve">Kempsey </t>
  </si>
  <si>
    <t xml:space="preserve">Kiama </t>
  </si>
  <si>
    <t>Ku-ring-gai</t>
  </si>
  <si>
    <t>Kyogle</t>
  </si>
  <si>
    <t xml:space="preserve">Lachlan </t>
  </si>
  <si>
    <t xml:space="preserve">Lake Macquarie </t>
  </si>
  <si>
    <t xml:space="preserve">Lane Cove </t>
  </si>
  <si>
    <t xml:space="preserve">Leeton </t>
  </si>
  <si>
    <t xml:space="preserve">Lismore </t>
  </si>
  <si>
    <t xml:space="preserve">Lithgow </t>
  </si>
  <si>
    <t xml:space="preserve">Liverpool </t>
  </si>
  <si>
    <t xml:space="preserve">Liverpool Plains </t>
  </si>
  <si>
    <t xml:space="preserve">Lockhart </t>
  </si>
  <si>
    <t xml:space="preserve">Maitland </t>
  </si>
  <si>
    <t>Mid-Coast</t>
  </si>
  <si>
    <t>Mid-Western Regional</t>
  </si>
  <si>
    <t xml:space="preserve">Moree Plains </t>
  </si>
  <si>
    <t xml:space="preserve">Mosman </t>
  </si>
  <si>
    <t>Murray River</t>
  </si>
  <si>
    <t>Murrumbidgee</t>
  </si>
  <si>
    <t xml:space="preserve">Muswellbrook </t>
  </si>
  <si>
    <t xml:space="preserve">Nambucca </t>
  </si>
  <si>
    <t xml:space="preserve">Narrabri </t>
  </si>
  <si>
    <t xml:space="preserve">Narrandera </t>
  </si>
  <si>
    <t xml:space="preserve">Narromine </t>
  </si>
  <si>
    <t xml:space="preserve">Newcastle </t>
  </si>
  <si>
    <t>North Sydney</t>
  </si>
  <si>
    <t>Northern Beaches</t>
  </si>
  <si>
    <t>Oberon</t>
  </si>
  <si>
    <t xml:space="preserve">Orange </t>
  </si>
  <si>
    <t xml:space="preserve">Parkes </t>
  </si>
  <si>
    <t>Parramatta</t>
  </si>
  <si>
    <t xml:space="preserve">Penrith </t>
  </si>
  <si>
    <t>Port Macquarie-Hastings</t>
  </si>
  <si>
    <t>Port Stephens</t>
  </si>
  <si>
    <t>Queanbeyan-Palerang Regional</t>
  </si>
  <si>
    <t xml:space="preserve">Randwick </t>
  </si>
  <si>
    <t>Richmond Valley</t>
  </si>
  <si>
    <t xml:space="preserve">Ryde </t>
  </si>
  <si>
    <t xml:space="preserve">Shellharbour </t>
  </si>
  <si>
    <t xml:space="preserve">Shoalhaven </t>
  </si>
  <si>
    <t>Singleton</t>
  </si>
  <si>
    <t>Snowy Monaro Regional</t>
  </si>
  <si>
    <t>Snowy Valleys</t>
  </si>
  <si>
    <t xml:space="preserve">Strathfield </t>
  </si>
  <si>
    <t xml:space="preserve">Sutherland </t>
  </si>
  <si>
    <t>Sydney</t>
  </si>
  <si>
    <t>Tamworth Regional</t>
  </si>
  <si>
    <t xml:space="preserve">Temora </t>
  </si>
  <si>
    <t xml:space="preserve">Tenterfield </t>
  </si>
  <si>
    <t xml:space="preserve">Tweed </t>
  </si>
  <si>
    <t xml:space="preserve">Upper Hunter </t>
  </si>
  <si>
    <t xml:space="preserve">Upper Lachlan </t>
  </si>
  <si>
    <t xml:space="preserve">Uralla </t>
  </si>
  <si>
    <t xml:space="preserve">Wagga Wagga </t>
  </si>
  <si>
    <t>Walcha</t>
  </si>
  <si>
    <t xml:space="preserve">Walgett </t>
  </si>
  <si>
    <t xml:space="preserve">Warren </t>
  </si>
  <si>
    <t xml:space="preserve">Warrumbungle </t>
  </si>
  <si>
    <t>Waverley</t>
  </si>
  <si>
    <t xml:space="preserve">Weddin </t>
  </si>
  <si>
    <t xml:space="preserve">Wentworth </t>
  </si>
  <si>
    <t xml:space="preserve">Willoughby </t>
  </si>
  <si>
    <t xml:space="preserve">Wingecarribee </t>
  </si>
  <si>
    <t xml:space="preserve">Wollondilly </t>
  </si>
  <si>
    <t xml:space="preserve">Wollongong </t>
  </si>
  <si>
    <t xml:space="preserve">Woollahra </t>
  </si>
  <si>
    <t>Yass Valley</t>
  </si>
  <si>
    <t>Alice Springs</t>
  </si>
  <si>
    <t>NT</t>
  </si>
  <si>
    <t>Barkly</t>
  </si>
  <si>
    <t>Belyuen</t>
  </si>
  <si>
    <t>Central Desert</t>
  </si>
  <si>
    <t>Coomalie</t>
  </si>
  <si>
    <t>Darwin</t>
  </si>
  <si>
    <t>East Arnhem</t>
  </si>
  <si>
    <t>Katherine</t>
  </si>
  <si>
    <t>Litchfield</t>
  </si>
  <si>
    <t>MacDonnell</t>
  </si>
  <si>
    <t>Palmerston</t>
  </si>
  <si>
    <t>Roper Gulf</t>
  </si>
  <si>
    <t>Tiwi Islands</t>
  </si>
  <si>
    <t>Victoria Daly</t>
  </si>
  <si>
    <t>Wagait</t>
  </si>
  <si>
    <t>West Arnhem</t>
  </si>
  <si>
    <t>West Daly</t>
  </si>
  <si>
    <t>Aurukun</t>
  </si>
  <si>
    <t>QLD</t>
  </si>
  <si>
    <t>Balonne</t>
  </si>
  <si>
    <t>Banana</t>
  </si>
  <si>
    <t>Barcaldine</t>
  </si>
  <si>
    <t>Barcoo</t>
  </si>
  <si>
    <t>Blackall-Tambo</t>
  </si>
  <si>
    <t>Boulia</t>
  </si>
  <si>
    <t>Brisbane</t>
  </si>
  <si>
    <t>Bulloo</t>
  </si>
  <si>
    <t>Bundaberg</t>
  </si>
  <si>
    <t>Burdekin</t>
  </si>
  <si>
    <t>Burke</t>
  </si>
  <si>
    <t>Cairns</t>
  </si>
  <si>
    <t>Carpentaria</t>
  </si>
  <si>
    <t>Cassowary Coast</t>
  </si>
  <si>
    <t>Central Highlands</t>
  </si>
  <si>
    <t>Charters Towers</t>
  </si>
  <si>
    <t>Cherbourg</t>
  </si>
  <si>
    <t>Cloncurry</t>
  </si>
  <si>
    <t>Cook</t>
  </si>
  <si>
    <t>Croydon</t>
  </si>
  <si>
    <t>Diamantina</t>
  </si>
  <si>
    <t>Doomadgee</t>
  </si>
  <si>
    <t>Douglas</t>
  </si>
  <si>
    <t>Etheridge</t>
  </si>
  <si>
    <t>Flinders</t>
  </si>
  <si>
    <t>Fraser Coast</t>
  </si>
  <si>
    <t>Gladstone</t>
  </si>
  <si>
    <t>Gold Coast</t>
  </si>
  <si>
    <t>Goondiwindi</t>
  </si>
  <si>
    <t>Gympie</t>
  </si>
  <si>
    <t>Hinchinbrook</t>
  </si>
  <si>
    <t>Hope Vale</t>
  </si>
  <si>
    <t>Ipswich</t>
  </si>
  <si>
    <t>Isaac</t>
  </si>
  <si>
    <t>Kowanyama</t>
  </si>
  <si>
    <t>Livingstone</t>
  </si>
  <si>
    <t>Lockhart River</t>
  </si>
  <si>
    <t>Lockyer Valley</t>
  </si>
  <si>
    <t>Logan</t>
  </si>
  <si>
    <t>Longreach</t>
  </si>
  <si>
    <t>Mackay</t>
  </si>
  <si>
    <t>Mapoon</t>
  </si>
  <si>
    <t>Maranoa</t>
  </si>
  <si>
    <t>Mareeba</t>
  </si>
  <si>
    <t>McKinlay</t>
  </si>
  <si>
    <t>Moreton Bay</t>
  </si>
  <si>
    <t>Mornington</t>
  </si>
  <si>
    <t>Mount Isa</t>
  </si>
  <si>
    <t>Murweh</t>
  </si>
  <si>
    <t>Napranum</t>
  </si>
  <si>
    <t>Noosa</t>
  </si>
  <si>
    <t>North Burnett</t>
  </si>
  <si>
    <t>Northern Peninsula Area</t>
  </si>
  <si>
    <t>Palm Island</t>
  </si>
  <si>
    <t>Paroo</t>
  </si>
  <si>
    <t>Pormpuraaw</t>
  </si>
  <si>
    <t>Quilpie</t>
  </si>
  <si>
    <t>Redland</t>
  </si>
  <si>
    <t>Richmond</t>
  </si>
  <si>
    <t>Rockhampton</t>
  </si>
  <si>
    <t>Scenic Rim</t>
  </si>
  <si>
    <t>Somerset</t>
  </si>
  <si>
    <t>South Burnett</t>
  </si>
  <si>
    <t>Southern Downs</t>
  </si>
  <si>
    <t>Sunshine Coast</t>
  </si>
  <si>
    <t>Tablelands</t>
  </si>
  <si>
    <t>Toowoomba</t>
  </si>
  <si>
    <t>Torres</t>
  </si>
  <si>
    <t>Torres Strait Island</t>
  </si>
  <si>
    <t>Townsville</t>
  </si>
  <si>
    <t>Western Downs</t>
  </si>
  <si>
    <t>Whitsunday</t>
  </si>
  <si>
    <t>Winton</t>
  </si>
  <si>
    <t>Woorabinda</t>
  </si>
  <si>
    <t>Wujal Wujal</t>
  </si>
  <si>
    <t>Yarrabah</t>
  </si>
  <si>
    <t>Adelaide</t>
  </si>
  <si>
    <t>SA</t>
  </si>
  <si>
    <t>Adelaide Hills</t>
  </si>
  <si>
    <t>Adelaide Plains</t>
  </si>
  <si>
    <t>Alexandrina</t>
  </si>
  <si>
    <t>Anangu Pitjantjatjara Yankunytjatjara</t>
  </si>
  <si>
    <t>Barossa</t>
  </si>
  <si>
    <t>Barunga West</t>
  </si>
  <si>
    <t>Berri Barmera</t>
  </si>
  <si>
    <t>Burnside</t>
  </si>
  <si>
    <t>Campbelltown</t>
  </si>
  <si>
    <t>Ceduna</t>
  </si>
  <si>
    <t>Charles Sturt</t>
  </si>
  <si>
    <t>Clare And Gilbert Valleys</t>
  </si>
  <si>
    <t>Cleve</t>
  </si>
  <si>
    <t>Coober Pedy</t>
  </si>
  <si>
    <t>Coorong</t>
  </si>
  <si>
    <t>Copper Coast</t>
  </si>
  <si>
    <t>Elliston</t>
  </si>
  <si>
    <t>Flinders Ranges</t>
  </si>
  <si>
    <t>Franklin Harbour</t>
  </si>
  <si>
    <t>Gawler</t>
  </si>
  <si>
    <t>Gerard</t>
  </si>
  <si>
    <t>Goyder</t>
  </si>
  <si>
    <t>Grant</t>
  </si>
  <si>
    <t>Holdfast Bay</t>
  </si>
  <si>
    <t>Kangaroo Island</t>
  </si>
  <si>
    <t>Karoonda East Murray</t>
  </si>
  <si>
    <t>Kimba</t>
  </si>
  <si>
    <t>Kingston</t>
  </si>
  <si>
    <t>Light</t>
  </si>
  <si>
    <t>Lower Eyre Peninsula</t>
  </si>
  <si>
    <t>Loxton Waikerie</t>
  </si>
  <si>
    <t>Maralinga Tjarutja</t>
  </si>
  <si>
    <t>Marion</t>
  </si>
  <si>
    <t>Mid Murray</t>
  </si>
  <si>
    <t>Mitcham</t>
  </si>
  <si>
    <t>Mount Barker</t>
  </si>
  <si>
    <t>Mount Gambier</t>
  </si>
  <si>
    <t>Mount Remarkable</t>
  </si>
  <si>
    <t>Murray Bridge</t>
  </si>
  <si>
    <t>Naracoorte Lucindale</t>
  </si>
  <si>
    <t>Northern Areas</t>
  </si>
  <si>
    <t>Norwood Payneham &amp; St Peters</t>
  </si>
  <si>
    <t>Onkaparinga</t>
  </si>
  <si>
    <t>Orroroo Carrieton</t>
  </si>
  <si>
    <t>Peterborough</t>
  </si>
  <si>
    <t>Playford</t>
  </si>
  <si>
    <t>Port Adelaide Enfield</t>
  </si>
  <si>
    <t>Port Augusta</t>
  </si>
  <si>
    <t>Port Lincoln</t>
  </si>
  <si>
    <t>Port Pirie</t>
  </si>
  <si>
    <t>Prospect</t>
  </si>
  <si>
    <t>Renmark Paringa</t>
  </si>
  <si>
    <t>Robe</t>
  </si>
  <si>
    <t>Roxby Downs</t>
  </si>
  <si>
    <t>Salisbury</t>
  </si>
  <si>
    <t>Southern Mallee</t>
  </si>
  <si>
    <t>Streaky Bay</t>
  </si>
  <si>
    <t>Tatiara</t>
  </si>
  <si>
    <t>Tea Tree Gully</t>
  </si>
  <si>
    <t>Tumby Bay</t>
  </si>
  <si>
    <t>Unley</t>
  </si>
  <si>
    <t>Victor Harbor</t>
  </si>
  <si>
    <t>Wakefield</t>
  </si>
  <si>
    <t>Walkerville</t>
  </si>
  <si>
    <t>Wattle Range</t>
  </si>
  <si>
    <t>West Torrens</t>
  </si>
  <si>
    <t>Whyalla</t>
  </si>
  <si>
    <t>Wudinna</t>
  </si>
  <si>
    <t>Yankalilla</t>
  </si>
  <si>
    <t>Yorke Peninsula</t>
  </si>
  <si>
    <t>Break O'Day</t>
  </si>
  <si>
    <t>TAS</t>
  </si>
  <si>
    <t>Brighton</t>
  </si>
  <si>
    <t>Burnie</t>
  </si>
  <si>
    <t>Circular Head</t>
  </si>
  <si>
    <t>Clarence</t>
  </si>
  <si>
    <t>Derwent Valley</t>
  </si>
  <si>
    <t>Devonport</t>
  </si>
  <si>
    <t>Dorset</t>
  </si>
  <si>
    <t>George Town</t>
  </si>
  <si>
    <t>Glamorgan-Spring Bay</t>
  </si>
  <si>
    <t>Glenorchy</t>
  </si>
  <si>
    <t>Hobart</t>
  </si>
  <si>
    <t>Huon Valley</t>
  </si>
  <si>
    <t>Kentish</t>
  </si>
  <si>
    <t>King Island</t>
  </si>
  <si>
    <t>Kingborough</t>
  </si>
  <si>
    <t>Latrobe</t>
  </si>
  <si>
    <t>Launceston</t>
  </si>
  <si>
    <t>Meander Valley</t>
  </si>
  <si>
    <t>Northern Midlands</t>
  </si>
  <si>
    <t>Sorell</t>
  </si>
  <si>
    <t>Southern Midlands</t>
  </si>
  <si>
    <t>Tasman</t>
  </si>
  <si>
    <t>Waratah-Wynyard</t>
  </si>
  <si>
    <t>West Coast</t>
  </si>
  <si>
    <t>West Tamar</t>
  </si>
  <si>
    <t>Alpine</t>
  </si>
  <si>
    <t>VIC</t>
  </si>
  <si>
    <t>Ararat</t>
  </si>
  <si>
    <t>Ballarat</t>
  </si>
  <si>
    <t>Banyule</t>
  </si>
  <si>
    <t>Bass Coast</t>
  </si>
  <si>
    <t>Baw Baw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</si>
  <si>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</si>
  <si>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</si>
  <si>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</si>
  <si>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</si>
  <si>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</si>
  <si>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</si>
  <si>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</si>
  <si>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</si>
  <si>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</si>
  <si>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</si>
  <si>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</si>
  <si>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</si>
  <si>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</si>
  <si>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</si>
  <si>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</si>
  <si>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</si>
  <si>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</si>
  <si>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</si>
  <si>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</si>
  <si>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</si>
  <si>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</si>
  <si>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</si>
  <si>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</si>
  <si>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</si>
  <si>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</si>
  <si>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</si>
  <si>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</si>
  <si>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Knox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</si>
  <si>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</si>
  <si>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</si>
  <si>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</si>
  <si>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</si>
  <si>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</si>
  <si>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</si>
  <si>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</si>
  <si>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</si>
  <si>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</si>
  <si>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</si>
  <si>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</si>
  <si>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</si>
  <si>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</si>
  <si>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</si>
  <si>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</si>
  <si>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</si>
  <si>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</si>
  <si>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</si>
  <si>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</si>
  <si>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</si>
  <si>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</si>
  <si>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</si>
  <si>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</si>
  <si>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</si>
  <si>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</si>
  <si>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</si>
  <si>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</si>
  <si>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</si>
  <si>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</si>
  <si>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</si>
  <si>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</si>
  <si>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</si>
  <si>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</si>
  <si>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</si>
  <si>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</si>
  <si>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</si>
  <si>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</si>
  <si>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</si>
  <si>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</si>
  <si>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</si>
  <si>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</si>
  <si>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</si>
  <si>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Albany</t>
  </si>
  <si>
    <t>WA</t>
  </si>
  <si>
    <t>Armadale</t>
  </si>
  <si>
    <t>Ashburton</t>
  </si>
  <si>
    <t>Augusta-Margaret River</t>
  </si>
  <si>
    <t>Bassendean</t>
  </si>
  <si>
    <t>Bayswater</t>
  </si>
  <si>
    <t>Belmont</t>
  </si>
  <si>
    <t>Beverley</t>
  </si>
  <si>
    <t>Boddington</t>
  </si>
  <si>
    <t>Boyup Brook</t>
  </si>
  <si>
    <t>Bridgetown-Greenbushes</t>
  </si>
  <si>
    <t>Brookton</t>
  </si>
  <si>
    <t>Broome</t>
  </si>
  <si>
    <t>Broomehill-Tambellup</t>
  </si>
  <si>
    <t>Bruce Rock</t>
  </si>
  <si>
    <t>Bunbury</t>
  </si>
  <si>
    <t>Busselton</t>
  </si>
  <si>
    <t>Cambridge</t>
  </si>
  <si>
    <t>Canning</t>
  </si>
  <si>
    <t>Capel</t>
  </si>
  <si>
    <t>Carnamah</t>
  </si>
  <si>
    <t>Carnarvon</t>
  </si>
  <si>
    <t>Chapman Valley</t>
  </si>
  <si>
    <t>Chittering</t>
  </si>
  <si>
    <t>Christmas Island</t>
  </si>
  <si>
    <t>Claremont</t>
  </si>
  <si>
    <t>Cockburn</t>
  </si>
  <si>
    <t>Cocos</t>
  </si>
  <si>
    <t>Collie</t>
  </si>
  <si>
    <t>Coolgardie</t>
  </si>
  <si>
    <t>Coorow</t>
  </si>
  <si>
    <t>Corrigin</t>
  </si>
  <si>
    <t>Cottesloe</t>
  </si>
  <si>
    <t>Cranbrook</t>
  </si>
  <si>
    <t>Cuballing</t>
  </si>
  <si>
    <t>Cue</t>
  </si>
  <si>
    <t>Cunderdin</t>
  </si>
  <si>
    <t>Dalwallinu</t>
  </si>
  <si>
    <t>Dandaragan</t>
  </si>
  <si>
    <t>Dardanup</t>
  </si>
  <si>
    <t>Denmark</t>
  </si>
  <si>
    <t>Derby-West Kimberley</t>
  </si>
  <si>
    <t>Donnybrook-Balingup</t>
  </si>
  <si>
    <t>Dowerin</t>
  </si>
  <si>
    <t>Dumbleyung</t>
  </si>
  <si>
    <t>Dundas</t>
  </si>
  <si>
    <t>East Fremantle</t>
  </si>
  <si>
    <t>East Pilbara</t>
  </si>
  <si>
    <t>Esperance</t>
  </si>
  <si>
    <t>Exmouth</t>
  </si>
  <si>
    <t>Fremantle</t>
  </si>
  <si>
    <t>Gingin</t>
  </si>
  <si>
    <t>Gnowangerup</t>
  </si>
  <si>
    <t>Goomalling</t>
  </si>
  <si>
    <t>Gosnells</t>
  </si>
  <si>
    <t>Greater Geraldton</t>
  </si>
  <si>
    <t>Halls Creek</t>
  </si>
  <si>
    <t>Harvey</t>
  </si>
  <si>
    <t>Irwin</t>
  </si>
  <si>
    <t>Jerramungup</t>
  </si>
  <si>
    <t>Joondalup</t>
  </si>
  <si>
    <t>Kalamunda</t>
  </si>
  <si>
    <t>Kalgoorlie-Boulder</t>
  </si>
  <si>
    <t>Karratha</t>
  </si>
  <si>
    <t>Katanning</t>
  </si>
  <si>
    <t>Kellerberrin</t>
  </si>
  <si>
    <t>Kent</t>
  </si>
  <si>
    <t>Kojonup</t>
  </si>
  <si>
    <t>Kondinin</t>
  </si>
  <si>
    <t>Koorda</t>
  </si>
  <si>
    <t>Kulin</t>
  </si>
  <si>
    <t>Kwinana</t>
  </si>
  <si>
    <t>Lake Grace</t>
  </si>
  <si>
    <t>Laverton</t>
  </si>
  <si>
    <t>Leonora</t>
  </si>
  <si>
    <t>Mandurah</t>
  </si>
  <si>
    <t>Manjimup</t>
  </si>
  <si>
    <t>Meekatharra</t>
  </si>
  <si>
    <t>Melville</t>
  </si>
  <si>
    <t>Menzies</t>
  </si>
  <si>
    <t>Merredin</t>
  </si>
  <si>
    <t>Mingenew</t>
  </si>
  <si>
    <t>Moora</t>
  </si>
  <si>
    <t>Morawa</t>
  </si>
  <si>
    <t>Mosman Park</t>
  </si>
  <si>
    <t>Mount Magnet</t>
  </si>
  <si>
    <t>Mount Marshall</t>
  </si>
  <si>
    <t>Mukinbudin</t>
  </si>
  <si>
    <t>Mundaring</t>
  </si>
  <si>
    <t>Murchison</t>
  </si>
  <si>
    <t>Murray</t>
  </si>
  <si>
    <t>Nannup</t>
  </si>
  <si>
    <t>Narembeen</t>
  </si>
  <si>
    <t>Narrogin</t>
  </si>
  <si>
    <t>Nedlands</t>
  </si>
  <si>
    <t>Ngaanyatjarraku</t>
  </si>
  <si>
    <t>Northam</t>
  </si>
  <si>
    <t>Northampton</t>
  </si>
  <si>
    <t>Nungarin</t>
  </si>
  <si>
    <t>Peppermint Grove</t>
  </si>
  <si>
    <t>Perenjori</t>
  </si>
  <si>
    <t>Perth</t>
  </si>
  <si>
    <t>Pingelly</t>
  </si>
  <si>
    <t>Plantagenet</t>
  </si>
  <si>
    <t>Port Hedland</t>
  </si>
  <si>
    <t>Quairading</t>
  </si>
  <si>
    <t>Ravensthorpe</t>
  </si>
  <si>
    <t>Rockingham</t>
  </si>
  <si>
    <t>Sandstone</t>
  </si>
  <si>
    <t>Serpentine-Jarrahdale</t>
  </si>
  <si>
    <t>Shark Bay</t>
  </si>
  <si>
    <t>South Perth</t>
  </si>
  <si>
    <t>Stirling</t>
  </si>
  <si>
    <t>Subiaco</t>
  </si>
  <si>
    <t>Swan</t>
  </si>
  <si>
    <t>Tammin</t>
  </si>
  <si>
    <t>Three Springs</t>
  </si>
  <si>
    <t>Toodyay</t>
  </si>
  <si>
    <t>Trayning</t>
  </si>
  <si>
    <t>Upper Gascoyne</t>
  </si>
  <si>
    <t>Victoria Park</t>
  </si>
  <si>
    <t>Victoria Plains</t>
  </si>
  <si>
    <t>Vincent</t>
  </si>
  <si>
    <t>Wagin</t>
  </si>
  <si>
    <t>Wandering</t>
  </si>
  <si>
    <t>Wanneroo</t>
  </si>
  <si>
    <t>Waroona</t>
  </si>
  <si>
    <t>West Arthur</t>
  </si>
  <si>
    <t>Westonia</t>
  </si>
  <si>
    <t>Wickepin</t>
  </si>
  <si>
    <t>Williams</t>
  </si>
  <si>
    <t>Wiluna</t>
  </si>
  <si>
    <t>Wongan-Ballidu</t>
  </si>
  <si>
    <t>Woodanilling</t>
  </si>
  <si>
    <t>Wyalkatchem</t>
  </si>
  <si>
    <t>Wyndham East Kimberley</t>
  </si>
  <si>
    <t>Yalgoo</t>
  </si>
  <si>
    <t>Yilgarn</t>
  </si>
  <si>
    <t>York</t>
  </si>
  <si>
    <t>Median</t>
  </si>
  <si>
    <t>AMR</t>
  </si>
  <si>
    <t>OSR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</si>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</sst>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 applyFont="1"/>
    <xf numFmtId="0" fontId="0" fillId="0" borderId="0" xfId="0" applyFon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0" xfId="1" applyNumberFormat="1" applyFont="1" applyAlignment="1">
      <alignment horizontal="right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48"/>
  <sheetViews>
    <sheetView tabSelected="1" workbookViewId="0">
      <selection activeCell="N1" sqref="N1:N1048576"/>
    </sheetView>
  </sheetViews>
  <sheetFormatPr defaultRowHeight="15" x14ac:dyDescent="0.25"/>
  <cols>
    <col min="1" max="1" width="30.85546875" bestFit="1" customWidth="1"/>
    <col min="2" max="3" width="8.7109375" style="1" customWidth="1"/>
    <col min="4" max="4" width="9.5703125" style="1" bestFit="1" customWidth="1"/>
    <col min="5" max="5" width="9.85546875" style="1" bestFit="1" customWidth="1"/>
    <col min="6" max="7" width="9.140625" style="1"/>
    <col min="8" max="8" width="9.140625" style="2"/>
    <col min="9" max="9" width="9.42578125" style="2" customWidth="1"/>
    <col min="10" max="10" width="9.140625" style="3"/>
    <col min="15" max="15" width="9.140625" customWidth="1"/>
  </cols>
  <sheetData>
    <row r="1" spans="1:15" x14ac:dyDescent="0.25">
      <c r="A1" s="17" t="s">
        <v>0</v>
      </c>
      <c r="B1" s="17" t="s">
        <v>1</v>
      </c>
      <c r="C1" s="18" t="s">
        <v>2</v>
      </c>
      <c r="D1" s="16" t="s">
        <v>3</v>
      </c>
      <c r="E1" s="16"/>
      <c r="F1" s="16"/>
      <c r="G1" s="16" t="s">
        <v>554</v>
      </c>
      <c r="H1" s="19" t="s">
        <v>552</v>
      </c>
      <c r="I1" s="20" t="s">
        <v>553</v>
      </c>
      <c r="J1" s="21" t="s">
        <v>4</v>
      </c>
      <c r="K1" s="16" t="s">
        <v>5</v>
      </c>
      <c r="L1" s="16" t="s">
        <v>6</v>
      </c>
      <c r="M1" s="16" t="s">
        <v>7</v>
      </c>
    </row>
    <row r="2" spans="1:15" x14ac:dyDescent="0.25">
      <c r="A2" s="17"/>
      <c r="B2" s="17"/>
      <c r="C2" s="18"/>
      <c r="D2" s="1" t="s">
        <v>8</v>
      </c>
      <c r="E2" s="1" t="s">
        <v>9</v>
      </c>
      <c r="F2" s="1" t="s">
        <v>551</v>
      </c>
      <c r="G2" s="16"/>
      <c r="H2" s="19"/>
      <c r="I2" s="20"/>
      <c r="J2" s="21"/>
      <c r="K2" s="16"/>
      <c r="L2" s="16"/>
      <c r="M2" s="16"/>
    </row>
    <row r="3" spans="1:15" x14ac:dyDescent="0.25">
      <c r="A3" s="4"/>
      <c r="B3" s="4"/>
    </row>
    <row r="4" spans="1:15" x14ac:dyDescent="0.25">
      <c r="A4" t="s">
        <v>10</v>
      </c>
      <c r="B4" s="1" t="s">
        <v>11</v>
      </c>
      <c r="C4" s="1">
        <v>2014</v>
      </c>
      <c r="D4" s="1">
        <v>2</v>
      </c>
      <c r="E4" s="1">
        <v>2</v>
      </c>
      <c r="F4" s="1">
        <v>2</v>
      </c>
      <c r="G4" s="1">
        <v>0</v>
      </c>
      <c r="H4" s="2">
        <v>0.76750122729504178</v>
      </c>
      <c r="I4" s="2">
        <v>1.2035241765664111</v>
      </c>
      <c r="J4" s="3">
        <v>50990</v>
      </c>
      <c r="K4">
        <v>2.7642913077525448</v>
      </c>
      <c r="L4">
        <v>6.6914643696162885</v>
      </c>
      <c r="M4">
        <v>166.7</v>
      </c>
    </row>
    <row r="5" spans="1:15" x14ac:dyDescent="0.25">
      <c r="A5" t="s">
        <v>10</v>
      </c>
      <c r="B5" s="1" t="s">
        <v>11</v>
      </c>
      <c r="C5" s="1">
        <v>2015</v>
      </c>
      <c r="D5" s="1">
        <v>2</v>
      </c>
      <c r="E5" s="1">
        <v>2</v>
      </c>
      <c r="F5" s="1">
        <v>2</v>
      </c>
      <c r="G5" s="1">
        <v>0</v>
      </c>
      <c r="H5" s="2">
        <v>1.0137</v>
      </c>
      <c r="I5" s="2">
        <v>1.2612797739599491</v>
      </c>
      <c r="J5" s="3">
        <v>51486</v>
      </c>
      <c r="K5">
        <v>2.7642913077525448</v>
      </c>
      <c r="L5">
        <v>6.6914643696162885</v>
      </c>
      <c r="M5">
        <v>168.3</v>
      </c>
    </row>
    <row r="6" spans="1:15" x14ac:dyDescent="0.25">
      <c r="A6" t="s">
        <v>10</v>
      </c>
      <c r="B6" s="1" t="s">
        <v>11</v>
      </c>
      <c r="C6" s="1">
        <v>2016</v>
      </c>
      <c r="D6" s="1">
        <v>2</v>
      </c>
      <c r="E6" s="1">
        <v>2</v>
      </c>
      <c r="F6" s="1">
        <v>2</v>
      </c>
      <c r="G6" s="1">
        <v>0</v>
      </c>
      <c r="H6" s="2">
        <v>0.81559999999999999</v>
      </c>
      <c r="I6" s="5">
        <v>1.297136576845328</v>
      </c>
      <c r="J6" s="6">
        <v>51080</v>
      </c>
      <c r="K6" s="7">
        <v>2.7642913077525448</v>
      </c>
      <c r="L6" s="7">
        <v>6.6914643696162885</v>
      </c>
      <c r="M6">
        <v>170.5</v>
      </c>
      <c r="O6" s="7"/>
    </row>
    <row r="7" spans="1:15" x14ac:dyDescent="0.25">
      <c r="A7" t="s">
        <v>10</v>
      </c>
      <c r="B7" s="1" t="s">
        <v>11</v>
      </c>
      <c r="C7" s="1">
        <v>2017</v>
      </c>
      <c r="D7" s="1">
        <v>2</v>
      </c>
      <c r="E7" s="1">
        <v>2</v>
      </c>
      <c r="F7" s="1">
        <v>2</v>
      </c>
      <c r="G7" s="1">
        <v>0</v>
      </c>
      <c r="H7" s="2">
        <v>0.80689999999999995</v>
      </c>
      <c r="I7" s="2">
        <v>1.3417484535286568</v>
      </c>
      <c r="J7" s="3">
        <v>52989</v>
      </c>
      <c r="K7">
        <v>2.7642913077525448</v>
      </c>
      <c r="L7">
        <v>6.6914643696162885</v>
      </c>
      <c r="M7">
        <v>173.2</v>
      </c>
    </row>
    <row r="8" spans="1:15" x14ac:dyDescent="0.25">
      <c r="A8" s="8" t="s">
        <v>10</v>
      </c>
      <c r="B8" s="1" t="s">
        <v>11</v>
      </c>
      <c r="C8" s="1">
        <v>2018</v>
      </c>
      <c r="D8" s="1">
        <v>2</v>
      </c>
      <c r="E8" s="1">
        <v>2</v>
      </c>
      <c r="F8" s="1">
        <v>2</v>
      </c>
      <c r="G8" s="1">
        <v>0</v>
      </c>
      <c r="H8" s="2">
        <v>0.83030000000000004</v>
      </c>
      <c r="I8" s="2">
        <v>1.1788519125374315</v>
      </c>
      <c r="J8" s="3">
        <v>53767</v>
      </c>
      <c r="K8">
        <v>2.7642913077525448</v>
      </c>
      <c r="L8">
        <v>6.6914643696162885</v>
      </c>
      <c r="M8">
        <v>175.7</v>
      </c>
    </row>
    <row r="9" spans="1:15" x14ac:dyDescent="0.25">
      <c r="A9" s="8" t="s">
        <v>12</v>
      </c>
      <c r="B9" s="1" t="s">
        <v>11</v>
      </c>
      <c r="C9" s="1">
        <v>2014</v>
      </c>
      <c r="D9" s="1">
        <v>2</v>
      </c>
      <c r="E9" s="1">
        <v>3</v>
      </c>
      <c r="F9" s="1">
        <v>2.5</v>
      </c>
      <c r="G9" s="1">
        <v>1</v>
      </c>
      <c r="J9" s="3">
        <v>30085</v>
      </c>
      <c r="K9">
        <v>7.4</v>
      </c>
      <c r="L9">
        <v>7.9</v>
      </c>
      <c r="M9">
        <v>3.5</v>
      </c>
    </row>
    <row r="10" spans="1:15" x14ac:dyDescent="0.25">
      <c r="A10" s="8" t="s">
        <v>12</v>
      </c>
      <c r="B10" s="1" t="s">
        <v>11</v>
      </c>
      <c r="C10" s="1">
        <v>2015</v>
      </c>
      <c r="D10" s="1">
        <v>2</v>
      </c>
      <c r="E10" s="1">
        <v>3</v>
      </c>
      <c r="F10" s="1">
        <v>2.5</v>
      </c>
      <c r="G10" s="1">
        <v>1</v>
      </c>
      <c r="J10" s="3">
        <v>30193</v>
      </c>
      <c r="K10">
        <v>7.4</v>
      </c>
      <c r="L10">
        <v>7.9</v>
      </c>
      <c r="M10">
        <v>3.5</v>
      </c>
    </row>
    <row r="11" spans="1:15" x14ac:dyDescent="0.25">
      <c r="A11" t="s">
        <v>12</v>
      </c>
      <c r="B11" s="1" t="s">
        <v>11</v>
      </c>
      <c r="C11" s="1">
        <v>2016</v>
      </c>
      <c r="D11" s="1">
        <v>2</v>
      </c>
      <c r="E11" s="1">
        <v>3</v>
      </c>
      <c r="F11" s="1">
        <v>2.5</v>
      </c>
      <c r="G11" s="1">
        <v>1</v>
      </c>
      <c r="J11" s="6">
        <v>30617</v>
      </c>
      <c r="K11" s="7">
        <v>7.4</v>
      </c>
      <c r="L11" s="7">
        <v>7.9</v>
      </c>
      <c r="M11">
        <v>3.6</v>
      </c>
      <c r="O11" s="7"/>
    </row>
    <row r="12" spans="1:15" x14ac:dyDescent="0.25">
      <c r="A12" t="s">
        <v>12</v>
      </c>
      <c r="B12" s="1" t="s">
        <v>11</v>
      </c>
      <c r="C12" s="1">
        <v>2017</v>
      </c>
      <c r="D12" s="1">
        <v>2</v>
      </c>
      <c r="E12" s="1">
        <v>3</v>
      </c>
      <c r="F12" s="1">
        <v>2.5</v>
      </c>
      <c r="G12" s="1">
        <v>1</v>
      </c>
      <c r="H12" s="5">
        <v>0.96260000000000001</v>
      </c>
      <c r="I12" s="2">
        <f>1/0.8765</f>
        <v>1.140901312036509</v>
      </c>
      <c r="J12" s="3">
        <v>30617</v>
      </c>
      <c r="K12">
        <v>7.4</v>
      </c>
      <c r="L12">
        <v>7.9</v>
      </c>
      <c r="M12">
        <v>3.6</v>
      </c>
    </row>
    <row r="13" spans="1:15" x14ac:dyDescent="0.25">
      <c r="A13" s="8" t="s">
        <v>12</v>
      </c>
      <c r="B13" s="1" t="s">
        <v>11</v>
      </c>
      <c r="C13" s="1">
        <v>2018</v>
      </c>
      <c r="D13" s="1">
        <v>2</v>
      </c>
      <c r="E13" s="1">
        <v>3</v>
      </c>
      <c r="F13" s="1">
        <v>2.5</v>
      </c>
      <c r="G13" s="1">
        <v>1</v>
      </c>
      <c r="H13" s="2">
        <v>0.9627</v>
      </c>
      <c r="I13" s="2">
        <v>0.91970487867384243</v>
      </c>
      <c r="J13" s="3">
        <v>30707</v>
      </c>
      <c r="K13">
        <v>7.4</v>
      </c>
      <c r="L13">
        <v>7.9</v>
      </c>
      <c r="M13">
        <v>3.6</v>
      </c>
    </row>
    <row r="14" spans="1:15" x14ac:dyDescent="0.25">
      <c r="A14" s="8" t="s">
        <v>13</v>
      </c>
      <c r="B14" s="1" t="s">
        <v>11</v>
      </c>
      <c r="C14" s="1">
        <v>2014</v>
      </c>
      <c r="D14" s="1">
        <v>2</v>
      </c>
      <c r="E14" s="1">
        <v>2</v>
      </c>
      <c r="F14" s="1">
        <v>2</v>
      </c>
      <c r="G14" s="1">
        <v>0</v>
      </c>
      <c r="H14" s="2">
        <v>1.051953125</v>
      </c>
      <c r="I14" s="2">
        <v>1.0013262119768997</v>
      </c>
      <c r="J14" s="3">
        <v>41881</v>
      </c>
      <c r="K14">
        <v>3.2977552290240748</v>
      </c>
      <c r="L14">
        <v>3.7309146604125787</v>
      </c>
      <c r="M14">
        <v>86.4</v>
      </c>
    </row>
    <row r="15" spans="1:15" x14ac:dyDescent="0.25">
      <c r="A15" s="8" t="s">
        <v>13</v>
      </c>
      <c r="B15" s="1" t="s">
        <v>11</v>
      </c>
      <c r="C15" s="1">
        <v>2015</v>
      </c>
      <c r="D15" s="1">
        <v>2</v>
      </c>
      <c r="E15" s="1">
        <v>2</v>
      </c>
      <c r="F15" s="1">
        <v>2</v>
      </c>
      <c r="G15" s="1">
        <v>0</v>
      </c>
      <c r="H15" s="2">
        <v>1</v>
      </c>
      <c r="I15" s="2">
        <v>0.99618177404047759</v>
      </c>
      <c r="J15" s="3">
        <v>42336</v>
      </c>
      <c r="K15">
        <v>3.2977552290240748</v>
      </c>
      <c r="L15">
        <v>3.7309146604125787</v>
      </c>
      <c r="M15">
        <v>87.3</v>
      </c>
    </row>
    <row r="16" spans="1:15" x14ac:dyDescent="0.25">
      <c r="A16" t="s">
        <v>13</v>
      </c>
      <c r="B16" s="1" t="s">
        <v>11</v>
      </c>
      <c r="C16" s="1">
        <v>2016</v>
      </c>
      <c r="D16" s="1">
        <v>2</v>
      </c>
      <c r="E16" s="1">
        <v>2</v>
      </c>
      <c r="F16" s="1">
        <v>2</v>
      </c>
      <c r="G16" s="1">
        <v>0</v>
      </c>
      <c r="H16" s="2">
        <v>0.99659999999999993</v>
      </c>
      <c r="I16" s="2">
        <v>1.1444558483473271</v>
      </c>
      <c r="J16" s="6">
        <v>41786</v>
      </c>
      <c r="K16" s="7">
        <v>3.2977552290240748</v>
      </c>
      <c r="L16" s="7">
        <v>3.7309146604125787</v>
      </c>
      <c r="M16">
        <v>88.7</v>
      </c>
      <c r="O16" s="7"/>
    </row>
    <row r="17" spans="1:15" x14ac:dyDescent="0.25">
      <c r="A17" t="s">
        <v>13</v>
      </c>
      <c r="B17" s="1" t="s">
        <v>11</v>
      </c>
      <c r="C17" s="1">
        <v>2017</v>
      </c>
      <c r="D17" s="1">
        <v>2</v>
      </c>
      <c r="E17" s="1">
        <v>2</v>
      </c>
      <c r="F17" s="1">
        <v>2</v>
      </c>
      <c r="G17" s="1">
        <v>0</v>
      </c>
      <c r="H17" s="2">
        <v>0.82909999999999995</v>
      </c>
      <c r="I17" s="2">
        <v>1.3511276250499729</v>
      </c>
      <c r="J17" s="3">
        <v>43480</v>
      </c>
      <c r="K17">
        <v>3.2977552290240748</v>
      </c>
      <c r="L17">
        <v>3.7309146604125787</v>
      </c>
      <c r="M17">
        <v>89.7</v>
      </c>
    </row>
    <row r="18" spans="1:15" x14ac:dyDescent="0.25">
      <c r="A18" s="8" t="s">
        <v>13</v>
      </c>
      <c r="B18" s="1" t="s">
        <v>11</v>
      </c>
      <c r="C18" s="1">
        <v>2018</v>
      </c>
      <c r="D18" s="1">
        <v>2</v>
      </c>
      <c r="E18" s="1">
        <v>2</v>
      </c>
      <c r="F18" s="1">
        <v>2</v>
      </c>
      <c r="G18" s="1">
        <v>0</v>
      </c>
      <c r="H18" s="2">
        <v>0.96900000000000008</v>
      </c>
      <c r="I18" s="2">
        <v>1.04666487358795</v>
      </c>
      <c r="J18" s="3">
        <v>44208</v>
      </c>
      <c r="K18">
        <v>3.2977552290240748</v>
      </c>
      <c r="L18">
        <v>3.7309146604125787</v>
      </c>
      <c r="M18">
        <v>91.2</v>
      </c>
    </row>
    <row r="19" spans="1:15" x14ac:dyDescent="0.25">
      <c r="A19" s="8" t="s">
        <v>14</v>
      </c>
      <c r="B19" s="1" t="s">
        <v>11</v>
      </c>
      <c r="C19" s="1">
        <v>2014</v>
      </c>
      <c r="D19" s="1">
        <v>3</v>
      </c>
      <c r="E19" s="1">
        <v>4</v>
      </c>
      <c r="F19" s="1">
        <v>3.5</v>
      </c>
      <c r="G19" s="1">
        <v>1</v>
      </c>
      <c r="H19" s="2">
        <v>0.92800683614612267</v>
      </c>
      <c r="I19" s="2">
        <v>0.59626274000459767</v>
      </c>
      <c r="J19" s="3">
        <v>2376</v>
      </c>
      <c r="K19">
        <v>8.9956331877729259</v>
      </c>
      <c r="L19">
        <v>6.8122270742358078</v>
      </c>
      <c r="M19">
        <v>0.1</v>
      </c>
    </row>
    <row r="20" spans="1:15" x14ac:dyDescent="0.25">
      <c r="A20" s="8" t="s">
        <v>14</v>
      </c>
      <c r="B20" s="1" t="s">
        <v>11</v>
      </c>
      <c r="C20" s="1">
        <v>2015</v>
      </c>
      <c r="D20" s="1">
        <v>3</v>
      </c>
      <c r="E20" s="1">
        <v>4</v>
      </c>
      <c r="F20" s="1">
        <v>3.5</v>
      </c>
      <c r="G20" s="1">
        <v>1</v>
      </c>
      <c r="H20" s="2">
        <v>1.1283000000000001</v>
      </c>
      <c r="I20" s="2">
        <v>0.80347744987009528</v>
      </c>
      <c r="J20" s="3">
        <v>2364</v>
      </c>
      <c r="K20">
        <v>8.9956331877729259</v>
      </c>
      <c r="L20">
        <v>6.8122270742358078</v>
      </c>
      <c r="M20">
        <v>0.1</v>
      </c>
    </row>
    <row r="21" spans="1:15" x14ac:dyDescent="0.25">
      <c r="A21" t="s">
        <v>14</v>
      </c>
      <c r="B21" s="1" t="s">
        <v>11</v>
      </c>
      <c r="C21" s="1">
        <v>2016</v>
      </c>
      <c r="D21" s="1">
        <v>3</v>
      </c>
      <c r="E21" s="1">
        <v>4</v>
      </c>
      <c r="F21" s="1">
        <v>3.5</v>
      </c>
      <c r="G21" s="1">
        <v>1</v>
      </c>
      <c r="H21" s="2">
        <v>0.54770000000000008</v>
      </c>
      <c r="I21" s="2">
        <v>0.95871156661786239</v>
      </c>
      <c r="J21" s="6">
        <v>2290</v>
      </c>
      <c r="K21" s="7">
        <v>8.9956331877729259</v>
      </c>
      <c r="L21" s="7">
        <v>6.8122270742358078</v>
      </c>
      <c r="M21">
        <v>0.1</v>
      </c>
      <c r="O21" s="7"/>
    </row>
    <row r="22" spans="1:15" x14ac:dyDescent="0.25">
      <c r="A22" t="s">
        <v>14</v>
      </c>
      <c r="B22" s="1" t="s">
        <v>11</v>
      </c>
      <c r="C22" s="1">
        <v>2017</v>
      </c>
      <c r="D22" s="1">
        <v>3</v>
      </c>
      <c r="E22" s="1">
        <v>4</v>
      </c>
      <c r="F22" s="1">
        <v>3.5</v>
      </c>
      <c r="G22" s="1">
        <v>1</v>
      </c>
      <c r="H22" s="2">
        <v>0.84689999999999999</v>
      </c>
      <c r="I22" s="2">
        <v>1.1305622369212267</v>
      </c>
      <c r="J22" s="3">
        <v>2343</v>
      </c>
      <c r="K22">
        <v>8.9956331877729259</v>
      </c>
      <c r="L22">
        <v>6.8122270742358078</v>
      </c>
      <c r="M22">
        <v>0.1</v>
      </c>
    </row>
    <row r="23" spans="1:15" x14ac:dyDescent="0.25">
      <c r="A23" s="8" t="s">
        <v>14</v>
      </c>
      <c r="B23" s="1" t="s">
        <v>11</v>
      </c>
      <c r="C23" s="1">
        <v>2018</v>
      </c>
      <c r="D23" s="1">
        <v>3</v>
      </c>
      <c r="E23" s="1">
        <v>4</v>
      </c>
      <c r="F23" s="1">
        <v>3.5</v>
      </c>
      <c r="G23" s="1">
        <v>1</v>
      </c>
      <c r="H23" s="2">
        <v>1.0872999999999999</v>
      </c>
      <c r="I23" s="2">
        <v>0.94381169324221714</v>
      </c>
      <c r="J23" s="3">
        <v>2340</v>
      </c>
      <c r="K23">
        <v>8.9956331877729259</v>
      </c>
      <c r="L23">
        <v>6.8122270742358078</v>
      </c>
      <c r="M23">
        <v>0.1</v>
      </c>
    </row>
    <row r="24" spans="1:15" x14ac:dyDescent="0.25">
      <c r="A24" s="8" t="s">
        <v>15</v>
      </c>
      <c r="B24" s="1" t="s">
        <v>11</v>
      </c>
      <c r="C24" s="1">
        <v>2014</v>
      </c>
      <c r="D24" s="1">
        <v>2</v>
      </c>
      <c r="E24" s="1">
        <v>3</v>
      </c>
      <c r="F24" s="1">
        <v>2.5</v>
      </c>
      <c r="G24" s="1">
        <v>1</v>
      </c>
      <c r="H24" s="2">
        <v>1.7692175506930921</v>
      </c>
      <c r="I24" s="2">
        <v>1.1791307702198792</v>
      </c>
      <c r="J24" s="3">
        <v>41157</v>
      </c>
      <c r="K24">
        <v>5.4405462337473667</v>
      </c>
      <c r="L24">
        <v>4.0676981186896199</v>
      </c>
      <c r="M24">
        <v>10.8</v>
      </c>
    </row>
    <row r="25" spans="1:15" x14ac:dyDescent="0.25">
      <c r="A25" s="8" t="s">
        <v>15</v>
      </c>
      <c r="B25" s="1" t="s">
        <v>11</v>
      </c>
      <c r="C25" s="1">
        <v>2015</v>
      </c>
      <c r="D25" s="1">
        <v>2</v>
      </c>
      <c r="E25" s="1">
        <v>3</v>
      </c>
      <c r="F25" s="1">
        <v>2.5</v>
      </c>
      <c r="G25" s="1">
        <v>1</v>
      </c>
      <c r="H25" s="2">
        <v>0.54259999999999997</v>
      </c>
      <c r="I25" s="2">
        <v>1.0871026553721366</v>
      </c>
      <c r="J25" s="3">
        <v>41694</v>
      </c>
      <c r="K25">
        <v>5.4405462337473667</v>
      </c>
      <c r="L25">
        <v>4.0676981186896199</v>
      </c>
      <c r="M25">
        <v>10.9</v>
      </c>
    </row>
    <row r="26" spans="1:15" x14ac:dyDescent="0.25">
      <c r="A26" t="s">
        <v>15</v>
      </c>
      <c r="B26" s="1" t="s">
        <v>11</v>
      </c>
      <c r="C26" s="1">
        <v>2016</v>
      </c>
      <c r="D26" s="1">
        <v>2</v>
      </c>
      <c r="E26" s="1">
        <v>3</v>
      </c>
      <c r="F26" s="1">
        <v>2.5</v>
      </c>
      <c r="G26" s="1">
        <v>1</v>
      </c>
      <c r="H26" s="2">
        <v>0.51739999999999997</v>
      </c>
      <c r="I26" s="2">
        <v>1.1634691702383382</v>
      </c>
      <c r="J26" s="6">
        <v>41301</v>
      </c>
      <c r="K26" s="7">
        <v>5.4405462337473667</v>
      </c>
      <c r="L26" s="7">
        <v>4.0676981186896199</v>
      </c>
      <c r="M26">
        <v>11.1</v>
      </c>
      <c r="O26" s="7"/>
    </row>
    <row r="27" spans="1:15" x14ac:dyDescent="0.25">
      <c r="A27" t="s">
        <v>15</v>
      </c>
      <c r="B27" s="1" t="s">
        <v>11</v>
      </c>
      <c r="C27" s="1">
        <v>2017</v>
      </c>
      <c r="D27" s="1">
        <v>2</v>
      </c>
      <c r="E27" s="1">
        <v>3</v>
      </c>
      <c r="F27" s="1">
        <v>2.5</v>
      </c>
      <c r="G27" s="1">
        <v>1</v>
      </c>
      <c r="H27" s="2">
        <v>1.5878000000000001</v>
      </c>
      <c r="I27" s="2">
        <v>1.3815556200238532</v>
      </c>
      <c r="J27" s="3">
        <v>42806</v>
      </c>
      <c r="K27">
        <v>5.4405462337473667</v>
      </c>
      <c r="L27">
        <v>4.0676981186896199</v>
      </c>
      <c r="M27">
        <v>11.2</v>
      </c>
    </row>
    <row r="28" spans="1:15" x14ac:dyDescent="0.25">
      <c r="A28" s="8" t="s">
        <v>15</v>
      </c>
      <c r="B28" s="1" t="s">
        <v>11</v>
      </c>
      <c r="C28" s="1">
        <v>2018</v>
      </c>
      <c r="D28" s="1">
        <v>2</v>
      </c>
      <c r="E28" s="1">
        <v>3</v>
      </c>
      <c r="F28" s="1">
        <v>2.5</v>
      </c>
      <c r="G28" s="1">
        <v>1</v>
      </c>
      <c r="H28" s="2">
        <v>0.81489999999999996</v>
      </c>
      <c r="I28" s="2">
        <v>0.93527980535279809</v>
      </c>
      <c r="J28" s="3">
        <v>43206</v>
      </c>
      <c r="K28">
        <v>5.4405462337473667</v>
      </c>
      <c r="L28">
        <v>4.0676981186896199</v>
      </c>
      <c r="M28">
        <v>11.3</v>
      </c>
    </row>
    <row r="29" spans="1:15" x14ac:dyDescent="0.25">
      <c r="A29" s="8" t="s">
        <v>16</v>
      </c>
      <c r="B29" s="1" t="s">
        <v>11</v>
      </c>
      <c r="C29" s="1">
        <v>2014</v>
      </c>
      <c r="D29" s="1">
        <v>1</v>
      </c>
      <c r="E29" s="1">
        <v>1</v>
      </c>
      <c r="F29" s="1">
        <v>1</v>
      </c>
      <c r="G29" s="1">
        <v>0</v>
      </c>
      <c r="J29" s="3">
        <v>154980</v>
      </c>
      <c r="K29">
        <v>1</v>
      </c>
      <c r="L29">
        <v>52.8</v>
      </c>
      <c r="M29">
        <v>3106.4</v>
      </c>
    </row>
    <row r="30" spans="1:15" x14ac:dyDescent="0.25">
      <c r="A30" s="8" t="s">
        <v>16</v>
      </c>
      <c r="B30" s="1" t="s">
        <v>11</v>
      </c>
      <c r="C30" s="1">
        <v>2015</v>
      </c>
      <c r="D30" s="1">
        <v>1</v>
      </c>
      <c r="E30" s="1">
        <v>1</v>
      </c>
      <c r="F30" s="1">
        <v>1</v>
      </c>
      <c r="G30" s="1">
        <v>0</v>
      </c>
      <c r="J30" s="3">
        <v>159222</v>
      </c>
      <c r="K30">
        <v>1</v>
      </c>
      <c r="L30">
        <v>52.8</v>
      </c>
      <c r="M30">
        <v>3191.4</v>
      </c>
    </row>
    <row r="31" spans="1:15" x14ac:dyDescent="0.25">
      <c r="A31" t="s">
        <v>16</v>
      </c>
      <c r="B31" s="1" t="s">
        <v>11</v>
      </c>
      <c r="C31" s="1">
        <v>2016</v>
      </c>
      <c r="D31" s="1">
        <v>1</v>
      </c>
      <c r="E31" s="1">
        <v>1</v>
      </c>
      <c r="F31" s="1">
        <v>1</v>
      </c>
      <c r="G31" s="1">
        <v>0</v>
      </c>
      <c r="J31" s="6">
        <v>170266</v>
      </c>
      <c r="K31" s="7">
        <v>1</v>
      </c>
      <c r="L31" s="7">
        <v>52.8</v>
      </c>
      <c r="M31">
        <v>3412.8</v>
      </c>
      <c r="O31" s="7"/>
    </row>
    <row r="32" spans="1:15" x14ac:dyDescent="0.25">
      <c r="A32" t="s">
        <v>16</v>
      </c>
      <c r="B32" s="1" t="s">
        <v>11</v>
      </c>
      <c r="C32" s="1">
        <v>2017</v>
      </c>
      <c r="D32" s="1">
        <v>1</v>
      </c>
      <c r="E32" s="1">
        <v>1</v>
      </c>
      <c r="F32" s="1">
        <v>1</v>
      </c>
      <c r="G32" s="1">
        <v>0</v>
      </c>
      <c r="H32" s="5">
        <v>0.66</v>
      </c>
      <c r="I32" s="2">
        <f>1/1.5428</f>
        <v>0.64817215452424171</v>
      </c>
      <c r="J32" s="3">
        <v>170266</v>
      </c>
      <c r="K32">
        <v>1</v>
      </c>
      <c r="L32">
        <v>52.8</v>
      </c>
      <c r="M32">
        <v>3412.8</v>
      </c>
    </row>
    <row r="33" spans="1:15" x14ac:dyDescent="0.25">
      <c r="A33" s="8" t="s">
        <v>16</v>
      </c>
      <c r="B33" s="1" t="s">
        <v>11</v>
      </c>
      <c r="C33" s="1">
        <v>2018</v>
      </c>
      <c r="D33" s="1">
        <v>1</v>
      </c>
      <c r="E33" s="1">
        <v>1</v>
      </c>
      <c r="F33" s="1">
        <v>1</v>
      </c>
      <c r="G33" s="1">
        <v>0</v>
      </c>
      <c r="H33" s="2">
        <f>9588/10358</f>
        <v>0.92566132458003481</v>
      </c>
      <c r="I33" s="2">
        <f>163819/161800</f>
        <v>1.012478368355995</v>
      </c>
      <c r="J33" s="3">
        <v>174378</v>
      </c>
      <c r="K33">
        <v>1</v>
      </c>
      <c r="L33">
        <v>52.8</v>
      </c>
      <c r="M33">
        <v>3495.2</v>
      </c>
    </row>
    <row r="34" spans="1:15" x14ac:dyDescent="0.25">
      <c r="A34" s="8" t="s">
        <v>17</v>
      </c>
      <c r="B34" s="1" t="s">
        <v>11</v>
      </c>
      <c r="C34" s="1">
        <v>2014</v>
      </c>
      <c r="D34" s="1">
        <v>3</v>
      </c>
      <c r="E34" s="1">
        <v>3</v>
      </c>
      <c r="F34" s="1">
        <v>3</v>
      </c>
      <c r="G34" s="1">
        <v>0</v>
      </c>
      <c r="H34" s="2">
        <v>1.0597900502053856</v>
      </c>
      <c r="I34" s="2">
        <v>0.97502144494091436</v>
      </c>
      <c r="J34" s="3">
        <v>33562</v>
      </c>
      <c r="K34">
        <v>3.1394719432248754</v>
      </c>
      <c r="L34">
        <v>3.0642930173813676</v>
      </c>
      <c r="M34">
        <v>5.3</v>
      </c>
    </row>
    <row r="35" spans="1:15" x14ac:dyDescent="0.25">
      <c r="A35" s="8" t="s">
        <v>17</v>
      </c>
      <c r="B35" s="1" t="s">
        <v>11</v>
      </c>
      <c r="C35" s="1">
        <v>2015</v>
      </c>
      <c r="D35" s="1">
        <v>3</v>
      </c>
      <c r="E35" s="1">
        <v>3</v>
      </c>
      <c r="F35" s="1">
        <v>3</v>
      </c>
      <c r="G35" s="1">
        <v>0</v>
      </c>
      <c r="H35" s="2">
        <v>0.81010000000000004</v>
      </c>
      <c r="I35" s="2">
        <v>1.0863645130183222</v>
      </c>
      <c r="J35" s="3">
        <v>33713</v>
      </c>
      <c r="K35">
        <v>3.1394719432248754</v>
      </c>
      <c r="L35">
        <v>3.0642930173813676</v>
      </c>
      <c r="M35">
        <v>5.4</v>
      </c>
    </row>
    <row r="36" spans="1:15" x14ac:dyDescent="0.25">
      <c r="A36" t="s">
        <v>17</v>
      </c>
      <c r="B36" s="1" t="s">
        <v>11</v>
      </c>
      <c r="C36" s="1">
        <v>2016</v>
      </c>
      <c r="D36" s="1">
        <v>3</v>
      </c>
      <c r="E36" s="1">
        <v>3</v>
      </c>
      <c r="F36" s="1">
        <v>3</v>
      </c>
      <c r="G36" s="1">
        <v>0</v>
      </c>
      <c r="H36" s="2">
        <v>3.54</v>
      </c>
      <c r="I36" s="2">
        <v>1.0464082972047235</v>
      </c>
      <c r="J36" s="6">
        <v>33254</v>
      </c>
      <c r="K36" s="7">
        <v>3.1394719432248754</v>
      </c>
      <c r="L36" s="7">
        <v>3.0642930173813676</v>
      </c>
      <c r="M36">
        <v>5.4</v>
      </c>
      <c r="O36" s="7"/>
    </row>
    <row r="37" spans="1:15" x14ac:dyDescent="0.25">
      <c r="A37" t="s">
        <v>17</v>
      </c>
      <c r="B37" s="1" t="s">
        <v>11</v>
      </c>
      <c r="C37" s="1">
        <v>2017</v>
      </c>
      <c r="D37" s="1">
        <v>3</v>
      </c>
      <c r="E37" s="1">
        <v>3</v>
      </c>
      <c r="F37" s="1">
        <v>3</v>
      </c>
      <c r="G37" s="1">
        <v>0</v>
      </c>
      <c r="H37" s="2">
        <v>0.95829999999999993</v>
      </c>
      <c r="I37" s="2">
        <v>1.031981287659125</v>
      </c>
      <c r="J37" s="3">
        <v>34117</v>
      </c>
      <c r="K37">
        <v>3.1394719432248754</v>
      </c>
      <c r="L37">
        <v>3.0642930173813676</v>
      </c>
      <c r="M37">
        <v>5.4</v>
      </c>
    </row>
    <row r="38" spans="1:15" x14ac:dyDescent="0.25">
      <c r="A38" s="8" t="s">
        <v>17</v>
      </c>
      <c r="B38" s="1" t="s">
        <v>11</v>
      </c>
      <c r="C38" s="1">
        <v>2018</v>
      </c>
      <c r="D38" s="1">
        <v>3</v>
      </c>
      <c r="E38" s="1">
        <v>3</v>
      </c>
      <c r="F38" s="1">
        <v>3</v>
      </c>
      <c r="G38" s="1">
        <v>0</v>
      </c>
      <c r="H38" s="2">
        <v>0.80599999999999994</v>
      </c>
      <c r="I38" s="2">
        <v>1.0115544499361724</v>
      </c>
      <c r="J38" s="3">
        <v>34348</v>
      </c>
      <c r="K38">
        <v>3.1394719432248754</v>
      </c>
      <c r="L38">
        <v>3.0642930173813676</v>
      </c>
      <c r="M38">
        <v>5.5</v>
      </c>
    </row>
    <row r="39" spans="1:15" x14ac:dyDescent="0.25">
      <c r="A39" s="8" t="s">
        <v>18</v>
      </c>
      <c r="B39" s="1" t="s">
        <v>11</v>
      </c>
      <c r="C39" s="1">
        <v>2014</v>
      </c>
      <c r="D39" s="1">
        <v>3</v>
      </c>
      <c r="E39" s="1">
        <v>3</v>
      </c>
      <c r="F39" s="1">
        <v>3</v>
      </c>
      <c r="G39" s="1">
        <v>0</v>
      </c>
      <c r="H39" s="2">
        <v>1.5723841376015288</v>
      </c>
      <c r="I39" s="2">
        <v>0.84834535954217472</v>
      </c>
      <c r="J39" s="3">
        <v>12929</v>
      </c>
      <c r="K39">
        <v>3.528018942383583</v>
      </c>
      <c r="L39">
        <v>3.2280978689818469</v>
      </c>
      <c r="M39">
        <v>8.1</v>
      </c>
    </row>
    <row r="40" spans="1:15" x14ac:dyDescent="0.25">
      <c r="A40" s="8" t="s">
        <v>18</v>
      </c>
      <c r="B40" s="1" t="s">
        <v>11</v>
      </c>
      <c r="C40" s="1">
        <v>2015</v>
      </c>
      <c r="D40" s="1">
        <v>3</v>
      </c>
      <c r="E40" s="1">
        <v>3</v>
      </c>
      <c r="F40" s="1">
        <v>3</v>
      </c>
      <c r="G40" s="1">
        <v>0</v>
      </c>
      <c r="H40" s="2">
        <v>0.74950000000000006</v>
      </c>
      <c r="I40" s="2">
        <v>1.0279078597645868</v>
      </c>
      <c r="J40" s="3">
        <v>12936</v>
      </c>
      <c r="K40">
        <v>3.528018942383583</v>
      </c>
      <c r="L40">
        <v>3.2280978689818469</v>
      </c>
      <c r="M40">
        <v>8.1</v>
      </c>
    </row>
    <row r="41" spans="1:15" x14ac:dyDescent="0.25">
      <c r="A41" t="s">
        <v>18</v>
      </c>
      <c r="B41" s="1" t="s">
        <v>11</v>
      </c>
      <c r="C41" s="1">
        <v>2016</v>
      </c>
      <c r="D41" s="1">
        <v>3</v>
      </c>
      <c r="E41" s="1">
        <v>3</v>
      </c>
      <c r="F41" s="1">
        <v>3</v>
      </c>
      <c r="G41" s="1">
        <v>0</v>
      </c>
      <c r="H41" s="2">
        <v>0.51570000000000005</v>
      </c>
      <c r="I41" s="2">
        <v>1.1486253423962667</v>
      </c>
      <c r="J41" s="6">
        <v>12670</v>
      </c>
      <c r="K41" s="7">
        <v>3.528018942383583</v>
      </c>
      <c r="L41" s="7">
        <v>3.2280978689818469</v>
      </c>
      <c r="M41">
        <v>8.1</v>
      </c>
      <c r="O41" s="7"/>
    </row>
    <row r="42" spans="1:15" x14ac:dyDescent="0.25">
      <c r="A42" t="s">
        <v>18</v>
      </c>
      <c r="B42" s="1" t="s">
        <v>11</v>
      </c>
      <c r="C42" s="1">
        <v>2017</v>
      </c>
      <c r="D42" s="1">
        <v>3</v>
      </c>
      <c r="E42" s="1">
        <v>3</v>
      </c>
      <c r="F42" s="1">
        <v>3</v>
      </c>
      <c r="G42" s="1">
        <v>0</v>
      </c>
      <c r="H42" s="2">
        <v>0.8931</v>
      </c>
      <c r="I42" s="2">
        <v>1.0784696330882608</v>
      </c>
      <c r="J42" s="3">
        <v>12951</v>
      </c>
      <c r="K42">
        <v>3.528018942383583</v>
      </c>
      <c r="L42">
        <v>3.2280978689818469</v>
      </c>
      <c r="M42">
        <v>8.1</v>
      </c>
    </row>
    <row r="43" spans="1:15" x14ac:dyDescent="0.25">
      <c r="A43" s="8" t="s">
        <v>18</v>
      </c>
      <c r="B43" s="1" t="s">
        <v>11</v>
      </c>
      <c r="C43" s="1">
        <v>2018</v>
      </c>
      <c r="D43" s="1">
        <v>3</v>
      </c>
      <c r="E43" s="1">
        <v>3</v>
      </c>
      <c r="F43" s="1">
        <v>3</v>
      </c>
      <c r="G43" s="1">
        <v>0</v>
      </c>
      <c r="H43" s="2">
        <v>1</v>
      </c>
      <c r="I43" s="2">
        <v>1.0051190001329611</v>
      </c>
      <c r="J43" s="3">
        <v>12963</v>
      </c>
      <c r="K43">
        <v>3.528018942383583</v>
      </c>
      <c r="L43">
        <v>3.2280978689818469</v>
      </c>
      <c r="M43">
        <v>8.1</v>
      </c>
    </row>
    <row r="44" spans="1:15" x14ac:dyDescent="0.25">
      <c r="A44" s="8" t="s">
        <v>19</v>
      </c>
      <c r="B44" s="1" t="s">
        <v>11</v>
      </c>
      <c r="C44" s="1">
        <v>2014</v>
      </c>
      <c r="D44" s="1">
        <v>2</v>
      </c>
      <c r="E44" s="1">
        <v>3</v>
      </c>
      <c r="F44" s="1">
        <v>2.5</v>
      </c>
      <c r="G44" s="1">
        <v>1</v>
      </c>
      <c r="H44" s="2">
        <v>1.0019672131147541</v>
      </c>
      <c r="I44" s="2">
        <v>1.0121481322915551</v>
      </c>
      <c r="J44" s="3">
        <v>8519</v>
      </c>
      <c r="K44">
        <v>2.3635074450484521</v>
      </c>
      <c r="L44">
        <v>2.8243913968328997</v>
      </c>
      <c r="M44">
        <v>4.0999999999999996</v>
      </c>
    </row>
    <row r="45" spans="1:15" x14ac:dyDescent="0.25">
      <c r="A45" s="8" t="s">
        <v>19</v>
      </c>
      <c r="B45" s="1" t="s">
        <v>11</v>
      </c>
      <c r="C45" s="1">
        <v>2015</v>
      </c>
      <c r="D45" s="1">
        <v>2</v>
      </c>
      <c r="E45" s="1">
        <v>3</v>
      </c>
      <c r="F45" s="1">
        <v>2.5</v>
      </c>
      <c r="G45" s="1">
        <v>1</v>
      </c>
      <c r="H45" s="2">
        <v>1.0042</v>
      </c>
      <c r="I45" s="2">
        <v>1.1386723100913343</v>
      </c>
      <c r="J45" s="3">
        <v>8568</v>
      </c>
      <c r="K45">
        <v>2.3635074450484521</v>
      </c>
      <c r="L45">
        <v>2.8243913968328997</v>
      </c>
      <c r="M45">
        <v>4.0999999999999996</v>
      </c>
    </row>
    <row r="46" spans="1:15" x14ac:dyDescent="0.25">
      <c r="A46" t="s">
        <v>19</v>
      </c>
      <c r="B46" s="1" t="s">
        <v>11</v>
      </c>
      <c r="C46" s="1">
        <v>2016</v>
      </c>
      <c r="D46" s="1">
        <v>2</v>
      </c>
      <c r="E46" s="1">
        <v>3</v>
      </c>
      <c r="F46" s="1">
        <v>2.5</v>
      </c>
      <c r="G46" s="1">
        <v>1</v>
      </c>
      <c r="H46" s="2">
        <v>1.0509999999999999</v>
      </c>
      <c r="I46" s="2">
        <v>1.3266957089697304</v>
      </c>
      <c r="J46" s="6">
        <v>8462</v>
      </c>
      <c r="K46" s="7">
        <v>2.3635074450484521</v>
      </c>
      <c r="L46" s="7">
        <v>2.8243913968328997</v>
      </c>
      <c r="M46">
        <v>4.2</v>
      </c>
      <c r="O46" s="7"/>
    </row>
    <row r="47" spans="1:15" x14ac:dyDescent="0.25">
      <c r="A47" t="s">
        <v>19</v>
      </c>
      <c r="B47" s="1" t="s">
        <v>11</v>
      </c>
      <c r="C47" s="1">
        <v>2017</v>
      </c>
      <c r="D47" s="1">
        <v>2</v>
      </c>
      <c r="E47" s="1">
        <v>3</v>
      </c>
      <c r="F47" s="1">
        <v>2.5</v>
      </c>
      <c r="G47" s="1">
        <v>1</v>
      </c>
      <c r="H47" s="2">
        <v>1.1473</v>
      </c>
      <c r="I47" s="2">
        <v>1.4015999135181882</v>
      </c>
      <c r="J47" s="3">
        <v>8667</v>
      </c>
      <c r="K47">
        <v>2.3635074450484521</v>
      </c>
      <c r="L47">
        <v>2.8243913968328997</v>
      </c>
      <c r="M47">
        <v>4.2</v>
      </c>
    </row>
    <row r="48" spans="1:15" x14ac:dyDescent="0.25">
      <c r="A48" s="8" t="s">
        <v>19</v>
      </c>
      <c r="B48" s="1" t="s">
        <v>11</v>
      </c>
      <c r="C48" s="1">
        <v>2018</v>
      </c>
      <c r="D48" s="1">
        <v>2</v>
      </c>
      <c r="E48" s="1">
        <v>3</v>
      </c>
      <c r="F48" s="1">
        <v>2.5</v>
      </c>
      <c r="G48" s="1">
        <v>1</v>
      </c>
      <c r="H48" s="2">
        <v>1.0390000000000001</v>
      </c>
      <c r="I48" s="2">
        <v>1.2231324255411491</v>
      </c>
      <c r="J48" s="3">
        <v>8707</v>
      </c>
      <c r="K48">
        <v>2.3635074450484521</v>
      </c>
      <c r="L48">
        <v>2.8243913968328997</v>
      </c>
      <c r="M48">
        <v>4.2</v>
      </c>
    </row>
    <row r="49" spans="1:15" x14ac:dyDescent="0.25">
      <c r="A49" s="8" t="s">
        <v>20</v>
      </c>
      <c r="B49" s="1" t="s">
        <v>11</v>
      </c>
      <c r="C49" s="1">
        <v>2014</v>
      </c>
      <c r="D49" s="1">
        <v>1</v>
      </c>
      <c r="E49" s="1">
        <v>1</v>
      </c>
      <c r="F49" s="1">
        <v>1</v>
      </c>
      <c r="G49" s="1">
        <v>0</v>
      </c>
      <c r="H49" s="2">
        <v>1.1013748300347483</v>
      </c>
      <c r="I49" s="2">
        <v>1.3708169573014843</v>
      </c>
      <c r="J49" s="3">
        <v>331825</v>
      </c>
      <c r="K49">
        <v>2.827296603504815</v>
      </c>
      <c r="L49">
        <v>41.036309408989062</v>
      </c>
      <c r="M49">
        <v>1382.3</v>
      </c>
    </row>
    <row r="50" spans="1:15" x14ac:dyDescent="0.25">
      <c r="A50" s="8" t="s">
        <v>20</v>
      </c>
      <c r="B50" s="1" t="s">
        <v>11</v>
      </c>
      <c r="C50" s="1">
        <v>2015</v>
      </c>
      <c r="D50" s="1">
        <v>1</v>
      </c>
      <c r="E50" s="1">
        <v>1</v>
      </c>
      <c r="F50" s="1">
        <v>1</v>
      </c>
      <c r="G50" s="1">
        <v>0</v>
      </c>
      <c r="H50" s="2">
        <v>1.2504999999999999</v>
      </c>
      <c r="I50" s="2">
        <v>1.7790150813250147</v>
      </c>
      <c r="J50" s="3">
        <v>339449</v>
      </c>
      <c r="K50">
        <v>2.827296603504815</v>
      </c>
      <c r="L50">
        <v>41.036309408989062</v>
      </c>
      <c r="M50">
        <v>1414.1</v>
      </c>
    </row>
    <row r="51" spans="1:15" x14ac:dyDescent="0.25">
      <c r="A51" t="s">
        <v>20</v>
      </c>
      <c r="B51" s="1" t="s">
        <v>11</v>
      </c>
      <c r="C51" s="1">
        <v>2016</v>
      </c>
      <c r="D51" s="1">
        <v>1</v>
      </c>
      <c r="E51" s="1">
        <v>1</v>
      </c>
      <c r="F51" s="1">
        <v>1</v>
      </c>
      <c r="G51" s="1">
        <v>0</v>
      </c>
      <c r="H51" s="2">
        <v>0.98560000000000003</v>
      </c>
      <c r="I51" s="2">
        <v>1.949249698173658</v>
      </c>
      <c r="J51" s="6">
        <v>336965</v>
      </c>
      <c r="K51" s="7">
        <v>2.827296603504815</v>
      </c>
      <c r="L51" s="7">
        <v>41.036309408989062</v>
      </c>
      <c r="M51">
        <v>1449.8</v>
      </c>
      <c r="O51" s="7"/>
    </row>
    <row r="52" spans="1:15" x14ac:dyDescent="0.25">
      <c r="A52" t="s">
        <v>20</v>
      </c>
      <c r="B52" s="1" t="s">
        <v>11</v>
      </c>
      <c r="C52" s="1">
        <v>2017</v>
      </c>
      <c r="D52" s="1">
        <v>1</v>
      </c>
      <c r="E52" s="1">
        <v>1</v>
      </c>
      <c r="F52" s="1">
        <v>1</v>
      </c>
      <c r="G52" s="1">
        <v>0</v>
      </c>
      <c r="H52" s="2">
        <v>0.99299999999999999</v>
      </c>
      <c r="I52" s="2">
        <v>1.8583199670919417</v>
      </c>
      <c r="J52" s="3">
        <v>357839</v>
      </c>
      <c r="K52">
        <v>2.827296603504815</v>
      </c>
      <c r="L52">
        <v>41.036309408989062</v>
      </c>
      <c r="M52">
        <v>1490.7</v>
      </c>
    </row>
    <row r="53" spans="1:15" x14ac:dyDescent="0.25">
      <c r="A53" s="8" t="s">
        <v>20</v>
      </c>
      <c r="B53" s="1" t="s">
        <v>11</v>
      </c>
      <c r="C53" s="1">
        <v>2018</v>
      </c>
      <c r="D53" s="1">
        <v>1</v>
      </c>
      <c r="E53" s="1">
        <v>1</v>
      </c>
      <c r="F53" s="1">
        <v>1</v>
      </c>
      <c r="G53" s="1">
        <v>0</v>
      </c>
      <c r="H53" s="2">
        <v>0.99569999999999992</v>
      </c>
      <c r="I53" s="2">
        <v>0.9372416542520825</v>
      </c>
      <c r="J53" s="3">
        <v>366534</v>
      </c>
      <c r="K53">
        <v>2.827296603504815</v>
      </c>
      <c r="L53">
        <v>41.036309408989062</v>
      </c>
      <c r="M53">
        <v>1526.9</v>
      </c>
    </row>
    <row r="54" spans="1:15" x14ac:dyDescent="0.25">
      <c r="A54" s="8" t="s">
        <v>21</v>
      </c>
      <c r="B54" s="1" t="s">
        <v>11</v>
      </c>
      <c r="C54" s="1">
        <v>2014</v>
      </c>
      <c r="D54" s="1">
        <v>3</v>
      </c>
      <c r="E54" s="1">
        <v>4</v>
      </c>
      <c r="F54" s="1">
        <v>3.5</v>
      </c>
      <c r="G54" s="1">
        <v>1</v>
      </c>
      <c r="H54" s="2">
        <v>1.25443676443116</v>
      </c>
      <c r="I54" s="2">
        <v>0.89397941883846543</v>
      </c>
      <c r="J54" s="3">
        <v>6034</v>
      </c>
      <c r="K54">
        <v>4.380664652567976</v>
      </c>
      <c r="L54">
        <v>2.4337025847599869</v>
      </c>
      <c r="M54">
        <v>0.7</v>
      </c>
    </row>
    <row r="55" spans="1:15" x14ac:dyDescent="0.25">
      <c r="A55" s="8" t="s">
        <v>21</v>
      </c>
      <c r="B55" s="1" t="s">
        <v>11</v>
      </c>
      <c r="C55" s="1">
        <v>2015</v>
      </c>
      <c r="D55" s="1">
        <v>3</v>
      </c>
      <c r="E55" s="1">
        <v>4</v>
      </c>
      <c r="F55" s="1">
        <v>3.5</v>
      </c>
      <c r="G55" s="1">
        <v>1</v>
      </c>
      <c r="H55" s="2">
        <v>0.87529999999999997</v>
      </c>
      <c r="I55" s="2">
        <v>0.98516928946113491</v>
      </c>
      <c r="J55" s="3">
        <v>6027</v>
      </c>
      <c r="K55">
        <v>4.380664652567976</v>
      </c>
      <c r="L55">
        <v>2.4337025847599869</v>
      </c>
      <c r="M55">
        <v>0.7</v>
      </c>
    </row>
    <row r="56" spans="1:15" x14ac:dyDescent="0.25">
      <c r="A56" t="s">
        <v>21</v>
      </c>
      <c r="B56" s="1" t="s">
        <v>11</v>
      </c>
      <c r="C56" s="1">
        <v>2016</v>
      </c>
      <c r="D56" s="1">
        <v>3</v>
      </c>
      <c r="E56" s="1">
        <v>4</v>
      </c>
      <c r="F56" s="1">
        <v>3.5</v>
      </c>
      <c r="G56" s="1">
        <v>1</v>
      </c>
      <c r="H56" s="2">
        <v>1.4946000000000002</v>
      </c>
      <c r="I56" s="2">
        <v>1.2598267487857393</v>
      </c>
      <c r="J56" s="6">
        <v>5958</v>
      </c>
      <c r="K56" s="7">
        <v>4.380664652567976</v>
      </c>
      <c r="L56" s="7">
        <v>2.4337025847599869</v>
      </c>
      <c r="M56">
        <v>0.7</v>
      </c>
      <c r="O56" s="7"/>
    </row>
    <row r="57" spans="1:15" x14ac:dyDescent="0.25">
      <c r="A57" t="s">
        <v>21</v>
      </c>
      <c r="B57" s="1" t="s">
        <v>11</v>
      </c>
      <c r="C57" s="1">
        <v>2017</v>
      </c>
      <c r="D57" s="1">
        <v>3</v>
      </c>
      <c r="E57" s="1">
        <v>4</v>
      </c>
      <c r="F57" s="1">
        <v>3.5</v>
      </c>
      <c r="G57" s="1">
        <v>1</v>
      </c>
      <c r="H57" s="2">
        <v>1.1428</v>
      </c>
      <c r="I57" s="2">
        <v>1.5268153526970953</v>
      </c>
      <c r="J57" s="3">
        <v>5988</v>
      </c>
      <c r="K57">
        <v>4.380664652567976</v>
      </c>
      <c r="L57">
        <v>2.4337025847599869</v>
      </c>
      <c r="M57">
        <v>0.7</v>
      </c>
    </row>
    <row r="58" spans="1:15" x14ac:dyDescent="0.25">
      <c r="A58" s="8" t="s">
        <v>21</v>
      </c>
      <c r="B58" s="1" t="s">
        <v>11</v>
      </c>
      <c r="C58" s="1">
        <v>2018</v>
      </c>
      <c r="D58" s="1">
        <v>3</v>
      </c>
      <c r="E58" s="1">
        <v>4</v>
      </c>
      <c r="F58" s="1">
        <v>3.5</v>
      </c>
      <c r="G58" s="1">
        <v>1</v>
      </c>
      <c r="H58" s="2">
        <v>1.1314</v>
      </c>
      <c r="I58" s="2">
        <v>0.98963510471092986</v>
      </c>
      <c r="J58" s="3">
        <v>5985</v>
      </c>
      <c r="K58">
        <v>4.380664652567976</v>
      </c>
      <c r="L58">
        <v>2.4337025847599869</v>
      </c>
      <c r="M58">
        <v>0.7</v>
      </c>
    </row>
    <row r="59" spans="1:15" x14ac:dyDescent="0.25">
      <c r="A59" s="8" t="s">
        <v>22</v>
      </c>
      <c r="B59" s="1" t="s">
        <v>11</v>
      </c>
      <c r="C59" s="1">
        <v>2014</v>
      </c>
      <c r="D59" s="1">
        <v>2</v>
      </c>
      <c r="E59" s="1">
        <v>3</v>
      </c>
      <c r="F59" s="1">
        <v>2.5</v>
      </c>
      <c r="G59" s="1">
        <v>1</v>
      </c>
      <c r="H59" s="2">
        <v>1.1518702118071202</v>
      </c>
      <c r="I59" s="2">
        <v>1.0205355345278839</v>
      </c>
      <c r="J59" s="3">
        <v>7322</v>
      </c>
      <c r="K59">
        <v>3.6919685907149744</v>
      </c>
      <c r="L59">
        <v>1.3362722138035541</v>
      </c>
      <c r="M59">
        <v>4.8</v>
      </c>
    </row>
    <row r="60" spans="1:15" x14ac:dyDescent="0.25">
      <c r="A60" s="8" t="s">
        <v>22</v>
      </c>
      <c r="B60" s="1" t="s">
        <v>11</v>
      </c>
      <c r="C60" s="1">
        <v>2015</v>
      </c>
      <c r="D60" s="1">
        <v>2</v>
      </c>
      <c r="E60" s="1">
        <v>3</v>
      </c>
      <c r="F60" s="1">
        <v>2.5</v>
      </c>
      <c r="G60" s="1">
        <v>1</v>
      </c>
      <c r="H60" s="2">
        <v>0.89939999999999998</v>
      </c>
      <c r="I60" s="2">
        <v>1.1516326978585025</v>
      </c>
      <c r="J60" s="3">
        <v>7322</v>
      </c>
      <c r="K60">
        <v>3.6919685907149744</v>
      </c>
      <c r="L60">
        <v>1.3362722138035541</v>
      </c>
      <c r="M60">
        <v>4.8</v>
      </c>
    </row>
    <row r="61" spans="1:15" x14ac:dyDescent="0.25">
      <c r="A61" t="s">
        <v>22</v>
      </c>
      <c r="B61" s="1" t="s">
        <v>11</v>
      </c>
      <c r="C61" s="1">
        <v>2016</v>
      </c>
      <c r="D61" s="1">
        <v>2</v>
      </c>
      <c r="E61" s="1">
        <v>3</v>
      </c>
      <c r="F61" s="1">
        <v>2.5</v>
      </c>
      <c r="G61" s="1">
        <v>1</v>
      </c>
      <c r="H61" s="2">
        <v>1.2018</v>
      </c>
      <c r="I61" s="2">
        <v>1.2797859102710565</v>
      </c>
      <c r="J61" s="6">
        <v>7259</v>
      </c>
      <c r="K61" s="7">
        <v>3.6919685907149744</v>
      </c>
      <c r="L61" s="7">
        <v>1.3362722138035541</v>
      </c>
      <c r="M61">
        <v>4.8</v>
      </c>
      <c r="O61" s="7"/>
    </row>
    <row r="62" spans="1:15" x14ac:dyDescent="0.25">
      <c r="A62" t="s">
        <v>22</v>
      </c>
      <c r="B62" s="1" t="s">
        <v>11</v>
      </c>
      <c r="C62" s="1">
        <v>2017</v>
      </c>
      <c r="D62" s="1">
        <v>2</v>
      </c>
      <c r="E62" s="1">
        <v>3</v>
      </c>
      <c r="F62" s="1">
        <v>2.5</v>
      </c>
      <c r="G62" s="1">
        <v>1</v>
      </c>
      <c r="H62" s="2">
        <v>1.4591000000000001</v>
      </c>
      <c r="I62" s="2">
        <v>1.2706311360448808</v>
      </c>
      <c r="J62" s="3">
        <v>7350</v>
      </c>
      <c r="K62">
        <v>3.6919685907149744</v>
      </c>
      <c r="L62">
        <v>1.3362722138035541</v>
      </c>
      <c r="M62">
        <v>4.8</v>
      </c>
    </row>
    <row r="63" spans="1:15" x14ac:dyDescent="0.25">
      <c r="A63" s="8" t="s">
        <v>22</v>
      </c>
      <c r="B63" s="1" t="s">
        <v>11</v>
      </c>
      <c r="C63" s="1">
        <v>2018</v>
      </c>
      <c r="D63" s="1">
        <v>2</v>
      </c>
      <c r="E63" s="1">
        <v>3</v>
      </c>
      <c r="F63" s="1">
        <v>2.5</v>
      </c>
      <c r="G63" s="1">
        <v>1</v>
      </c>
      <c r="H63" s="2">
        <v>1.0498000000000001</v>
      </c>
      <c r="I63" s="2">
        <v>1.007421150278293</v>
      </c>
      <c r="J63" s="3">
        <v>7342</v>
      </c>
      <c r="K63">
        <v>3.6919685907149744</v>
      </c>
      <c r="L63">
        <v>1.3362722138035541</v>
      </c>
      <c r="M63">
        <v>4.8</v>
      </c>
    </row>
    <row r="64" spans="1:15" x14ac:dyDescent="0.25">
      <c r="A64" s="8" t="s">
        <v>23</v>
      </c>
      <c r="B64" s="1" t="s">
        <v>11</v>
      </c>
      <c r="C64" s="1">
        <v>2014</v>
      </c>
      <c r="D64" s="9">
        <v>1</v>
      </c>
      <c r="E64" s="9">
        <v>3</v>
      </c>
      <c r="F64" s="9">
        <v>2</v>
      </c>
      <c r="G64" s="1">
        <v>2</v>
      </c>
      <c r="H64" s="2">
        <v>0.97402597402597402</v>
      </c>
      <c r="I64" s="2">
        <v>0.98286887878758378</v>
      </c>
      <c r="J64" s="3">
        <v>78867</v>
      </c>
      <c r="K64">
        <v>2.3731502431666276</v>
      </c>
      <c r="L64">
        <v>6.1259785181139632</v>
      </c>
      <c r="M64">
        <v>55.1</v>
      </c>
    </row>
    <row r="65" spans="1:15" x14ac:dyDescent="0.25">
      <c r="A65" s="8" t="s">
        <v>23</v>
      </c>
      <c r="B65" s="1" t="s">
        <v>11</v>
      </c>
      <c r="C65" s="1">
        <v>2015</v>
      </c>
      <c r="D65" s="9">
        <v>1</v>
      </c>
      <c r="E65" s="9">
        <v>3</v>
      </c>
      <c r="F65" s="9">
        <v>2</v>
      </c>
      <c r="G65" s="1">
        <v>2</v>
      </c>
      <c r="H65" s="2">
        <v>0.95899999999999996</v>
      </c>
      <c r="I65" s="2">
        <v>1.0544068463505805</v>
      </c>
      <c r="J65" s="3">
        <v>78889</v>
      </c>
      <c r="K65">
        <v>2.3731502431666276</v>
      </c>
      <c r="L65">
        <v>6.1259785181139632</v>
      </c>
      <c r="M65">
        <v>55.1</v>
      </c>
    </row>
    <row r="66" spans="1:15" x14ac:dyDescent="0.25">
      <c r="A66" s="10" t="s">
        <v>23</v>
      </c>
      <c r="B66" s="1" t="s">
        <v>11</v>
      </c>
      <c r="C66" s="1">
        <v>2016</v>
      </c>
      <c r="D66" s="9">
        <v>1</v>
      </c>
      <c r="E66" s="9">
        <v>3</v>
      </c>
      <c r="F66" s="9">
        <v>2</v>
      </c>
      <c r="G66" s="1">
        <v>2</v>
      </c>
      <c r="H66" s="2">
        <v>0.97270000000000001</v>
      </c>
      <c r="I66" s="2">
        <v>1.0328617980410226</v>
      </c>
      <c r="J66" s="6">
        <v>76902</v>
      </c>
      <c r="K66" s="7">
        <v>2.3731502431666276</v>
      </c>
      <c r="L66" s="7">
        <v>6.1259785181139632</v>
      </c>
      <c r="M66">
        <v>55.1</v>
      </c>
      <c r="O66" s="7"/>
    </row>
    <row r="67" spans="1:15" x14ac:dyDescent="0.25">
      <c r="A67" s="10" t="s">
        <v>23</v>
      </c>
      <c r="B67" s="1" t="s">
        <v>11</v>
      </c>
      <c r="C67" s="1">
        <v>2017</v>
      </c>
      <c r="D67" s="9">
        <v>1</v>
      </c>
      <c r="E67" s="9">
        <v>3</v>
      </c>
      <c r="F67" s="9">
        <v>2</v>
      </c>
      <c r="G67" s="1">
        <v>2</v>
      </c>
      <c r="H67" s="2">
        <v>0.99</v>
      </c>
      <c r="I67" s="2">
        <v>1.0796431350549232</v>
      </c>
      <c r="J67" s="3">
        <v>79012</v>
      </c>
      <c r="K67">
        <v>2.3731502431666276</v>
      </c>
      <c r="L67">
        <v>6.1259785181139632</v>
      </c>
      <c r="M67">
        <v>55.2</v>
      </c>
    </row>
    <row r="68" spans="1:15" x14ac:dyDescent="0.25">
      <c r="A68" s="8" t="s">
        <v>23</v>
      </c>
      <c r="B68" s="1" t="s">
        <v>11</v>
      </c>
      <c r="C68" s="1">
        <v>2018</v>
      </c>
      <c r="D68" s="9">
        <v>1</v>
      </c>
      <c r="E68" s="9">
        <v>3</v>
      </c>
      <c r="F68" s="9">
        <v>2</v>
      </c>
      <c r="G68" s="1">
        <v>2</v>
      </c>
      <c r="H68" s="2">
        <v>0.99040000000000006</v>
      </c>
      <c r="I68" s="2">
        <v>0.95813369268649762</v>
      </c>
      <c r="J68" s="3">
        <v>79260</v>
      </c>
      <c r="K68">
        <v>2.3731502431666276</v>
      </c>
      <c r="L68">
        <v>6.1259785181139632</v>
      </c>
      <c r="M68">
        <v>55.4</v>
      </c>
    </row>
    <row r="69" spans="1:15" x14ac:dyDescent="0.25">
      <c r="A69" s="8" t="s">
        <v>24</v>
      </c>
      <c r="B69" s="1" t="s">
        <v>11</v>
      </c>
      <c r="C69" s="1">
        <v>2014</v>
      </c>
      <c r="D69" s="1">
        <v>4</v>
      </c>
      <c r="E69" s="1">
        <v>5</v>
      </c>
      <c r="F69" s="1">
        <v>4.5</v>
      </c>
      <c r="G69" s="1">
        <v>1</v>
      </c>
      <c r="H69" s="2">
        <v>1.1420843851424449</v>
      </c>
      <c r="I69" s="2">
        <v>0.92344993833389399</v>
      </c>
      <c r="J69" s="3">
        <v>2894</v>
      </c>
      <c r="K69">
        <v>16.586091483822983</v>
      </c>
      <c r="L69">
        <v>2.3800669393826701</v>
      </c>
      <c r="M69">
        <v>0.2</v>
      </c>
    </row>
    <row r="70" spans="1:15" x14ac:dyDescent="0.25">
      <c r="A70" s="8" t="s">
        <v>24</v>
      </c>
      <c r="B70" s="1" t="s">
        <v>11</v>
      </c>
      <c r="C70" s="1">
        <v>2015</v>
      </c>
      <c r="D70" s="1">
        <v>4</v>
      </c>
      <c r="E70" s="1">
        <v>5</v>
      </c>
      <c r="F70" s="1">
        <v>4.5</v>
      </c>
      <c r="G70" s="1">
        <v>1</v>
      </c>
      <c r="H70" s="2">
        <v>2.7471000000000005</v>
      </c>
      <c r="I70" s="2">
        <v>1.0630805212161711</v>
      </c>
      <c r="J70" s="3">
        <v>2846</v>
      </c>
      <c r="K70">
        <v>16.586091483822983</v>
      </c>
      <c r="L70">
        <v>2.3800669393826701</v>
      </c>
      <c r="M70">
        <v>0.2</v>
      </c>
    </row>
    <row r="71" spans="1:15" x14ac:dyDescent="0.25">
      <c r="A71" t="s">
        <v>24</v>
      </c>
      <c r="B71" s="1" t="s">
        <v>11</v>
      </c>
      <c r="C71" s="1">
        <v>2016</v>
      </c>
      <c r="D71" s="1">
        <v>4</v>
      </c>
      <c r="E71" s="1">
        <v>5</v>
      </c>
      <c r="F71" s="1">
        <v>4.5</v>
      </c>
      <c r="G71" s="1">
        <v>1</v>
      </c>
      <c r="H71" s="2">
        <v>0.85650000000000004</v>
      </c>
      <c r="I71" s="2">
        <v>1.1082978340433192</v>
      </c>
      <c r="J71" s="6">
        <v>2689</v>
      </c>
      <c r="K71" s="7">
        <v>16.586091483822983</v>
      </c>
      <c r="L71" s="7">
        <v>2.3800669393826701</v>
      </c>
      <c r="M71">
        <v>0.2</v>
      </c>
      <c r="O71" s="7"/>
    </row>
    <row r="72" spans="1:15" x14ac:dyDescent="0.25">
      <c r="A72" t="s">
        <v>24</v>
      </c>
      <c r="B72" s="1" t="s">
        <v>11</v>
      </c>
      <c r="C72" s="1">
        <v>2017</v>
      </c>
      <c r="D72" s="1">
        <v>4</v>
      </c>
      <c r="E72" s="1">
        <v>5</v>
      </c>
      <c r="F72" s="1">
        <v>4.5</v>
      </c>
      <c r="G72" s="1">
        <v>1</v>
      </c>
      <c r="H72" s="2">
        <v>0.93459999999999999</v>
      </c>
      <c r="I72" s="2">
        <v>1.2309834638816362</v>
      </c>
      <c r="J72" s="3">
        <v>2666</v>
      </c>
      <c r="K72">
        <v>16.586091483822983</v>
      </c>
      <c r="L72">
        <v>2.3800669393826701</v>
      </c>
      <c r="M72">
        <v>0.2</v>
      </c>
    </row>
    <row r="73" spans="1:15" x14ac:dyDescent="0.25">
      <c r="A73" s="8" t="s">
        <v>24</v>
      </c>
      <c r="B73" s="1" t="s">
        <v>11</v>
      </c>
      <c r="C73" s="1">
        <v>2018</v>
      </c>
      <c r="D73" s="1">
        <v>4</v>
      </c>
      <c r="E73" s="1">
        <v>5</v>
      </c>
      <c r="F73" s="1">
        <v>4.5</v>
      </c>
      <c r="G73" s="1">
        <v>1</v>
      </c>
      <c r="H73" s="2">
        <v>0.99170000000000003</v>
      </c>
      <c r="I73" s="2">
        <v>1.0519247985675917</v>
      </c>
      <c r="J73" s="3">
        <v>2621</v>
      </c>
      <c r="K73">
        <v>16.586091483822983</v>
      </c>
      <c r="L73">
        <v>2.3800669393826701</v>
      </c>
      <c r="M73">
        <v>0.2</v>
      </c>
    </row>
    <row r="74" spans="1:15" x14ac:dyDescent="0.25">
      <c r="A74" s="8" t="s">
        <v>25</v>
      </c>
      <c r="B74" s="1" t="s">
        <v>11</v>
      </c>
      <c r="C74" s="1">
        <v>2014</v>
      </c>
      <c r="D74" s="1">
        <v>4</v>
      </c>
      <c r="E74" s="1">
        <v>5</v>
      </c>
      <c r="F74" s="1">
        <v>4.5</v>
      </c>
      <c r="G74" s="1">
        <v>1</v>
      </c>
      <c r="H74" s="2">
        <v>1.0023053732931371</v>
      </c>
      <c r="I74" s="2">
        <v>0.93253603189205769</v>
      </c>
      <c r="J74" s="3">
        <v>2870</v>
      </c>
      <c r="K74">
        <v>31.447018609950629</v>
      </c>
      <c r="L74">
        <v>2.2407899734143566</v>
      </c>
      <c r="M74">
        <v>0.1</v>
      </c>
    </row>
    <row r="75" spans="1:15" x14ac:dyDescent="0.25">
      <c r="A75" s="8" t="s">
        <v>25</v>
      </c>
      <c r="B75" s="1" t="s">
        <v>11</v>
      </c>
      <c r="C75" s="1">
        <v>2015</v>
      </c>
      <c r="D75" s="1">
        <v>4</v>
      </c>
      <c r="E75" s="1">
        <v>5</v>
      </c>
      <c r="F75" s="1">
        <v>4.5</v>
      </c>
      <c r="G75" s="1">
        <v>1</v>
      </c>
      <c r="H75" s="2">
        <v>0.95669999999999999</v>
      </c>
      <c r="I75" s="2">
        <v>1.1940031990948943</v>
      </c>
      <c r="J75" s="3">
        <v>2801</v>
      </c>
      <c r="K75">
        <v>31.447018609950629</v>
      </c>
      <c r="L75">
        <v>2.2407899734143566</v>
      </c>
      <c r="M75">
        <v>0.1</v>
      </c>
    </row>
    <row r="76" spans="1:15" x14ac:dyDescent="0.25">
      <c r="A76" t="s">
        <v>25</v>
      </c>
      <c r="B76" s="1" t="s">
        <v>11</v>
      </c>
      <c r="C76" s="1">
        <v>2016</v>
      </c>
      <c r="D76" s="1">
        <v>4</v>
      </c>
      <c r="E76" s="1">
        <v>5</v>
      </c>
      <c r="F76" s="1">
        <v>4.5</v>
      </c>
      <c r="G76" s="1">
        <v>1</v>
      </c>
      <c r="H76" s="2">
        <v>1.0848</v>
      </c>
      <c r="I76" s="2">
        <v>1.2066594074158978</v>
      </c>
      <c r="J76" s="6">
        <v>2633</v>
      </c>
      <c r="K76" s="7">
        <v>31.447018609950629</v>
      </c>
      <c r="L76" s="7">
        <v>2.2407899734143566</v>
      </c>
      <c r="M76">
        <v>0.1</v>
      </c>
      <c r="O76" s="7"/>
    </row>
    <row r="77" spans="1:15" x14ac:dyDescent="0.25">
      <c r="A77" t="s">
        <v>25</v>
      </c>
      <c r="B77" s="1" t="s">
        <v>11</v>
      </c>
      <c r="C77" s="1">
        <v>2017</v>
      </c>
      <c r="D77" s="1">
        <v>4</v>
      </c>
      <c r="E77" s="1">
        <v>5</v>
      </c>
      <c r="F77" s="1">
        <v>4.5</v>
      </c>
      <c r="G77" s="1">
        <v>1</v>
      </c>
      <c r="H77" s="2">
        <v>0.99950000000000006</v>
      </c>
      <c r="I77" s="2">
        <v>1.3910360662010905</v>
      </c>
      <c r="J77" s="3">
        <v>2697</v>
      </c>
      <c r="K77">
        <v>31.447018609950629</v>
      </c>
      <c r="L77">
        <v>2.2407899734143566</v>
      </c>
      <c r="M77">
        <v>0.1</v>
      </c>
    </row>
    <row r="78" spans="1:15" x14ac:dyDescent="0.25">
      <c r="A78" s="8" t="s">
        <v>25</v>
      </c>
      <c r="B78" s="1" t="s">
        <v>11</v>
      </c>
      <c r="C78" s="1">
        <v>2018</v>
      </c>
      <c r="D78" s="1">
        <v>4</v>
      </c>
      <c r="E78" s="1">
        <v>5</v>
      </c>
      <c r="F78" s="1">
        <v>4.5</v>
      </c>
      <c r="G78" s="1">
        <v>1</v>
      </c>
      <c r="H78" s="2">
        <v>0.9104000000000001</v>
      </c>
      <c r="I78" s="2">
        <v>1.1047554973265821</v>
      </c>
      <c r="J78" s="3">
        <v>2630</v>
      </c>
      <c r="K78">
        <v>31.447018609950629</v>
      </c>
      <c r="L78">
        <v>2.2407899734143566</v>
      </c>
      <c r="M78">
        <v>0.1</v>
      </c>
    </row>
    <row r="79" spans="1:15" x14ac:dyDescent="0.25">
      <c r="A79" s="8" t="s">
        <v>26</v>
      </c>
      <c r="B79" s="1" t="s">
        <v>11</v>
      </c>
      <c r="C79" s="1">
        <v>2014</v>
      </c>
      <c r="D79" s="1">
        <v>4</v>
      </c>
      <c r="E79" s="1">
        <v>5</v>
      </c>
      <c r="F79" s="1">
        <v>4.5</v>
      </c>
      <c r="G79" s="1">
        <v>1</v>
      </c>
      <c r="H79" s="2">
        <v>1.0247498683517642</v>
      </c>
      <c r="I79" s="2">
        <v>0.80239025856885149</v>
      </c>
      <c r="J79" s="3">
        <v>1786</v>
      </c>
      <c r="K79">
        <v>61.337386018237083</v>
      </c>
      <c r="L79">
        <v>3.7082066869300911</v>
      </c>
      <c r="M79">
        <v>0.1</v>
      </c>
    </row>
    <row r="80" spans="1:15" x14ac:dyDescent="0.25">
      <c r="A80" s="8" t="s">
        <v>26</v>
      </c>
      <c r="B80" s="1" t="s">
        <v>11</v>
      </c>
      <c r="C80" s="1">
        <v>2015</v>
      </c>
      <c r="D80" s="1">
        <v>4</v>
      </c>
      <c r="E80" s="1">
        <v>5</v>
      </c>
      <c r="F80" s="1">
        <v>4.5</v>
      </c>
      <c r="G80" s="1">
        <v>1</v>
      </c>
      <c r="H80" s="2">
        <v>0.83079999999999998</v>
      </c>
      <c r="I80" s="2">
        <v>1.0088198563846393</v>
      </c>
      <c r="J80" s="3">
        <v>1762</v>
      </c>
      <c r="K80">
        <v>61.337386018237083</v>
      </c>
      <c r="L80">
        <v>3.7082066869300911</v>
      </c>
      <c r="M80">
        <v>0.1</v>
      </c>
    </row>
    <row r="81" spans="1:15" x14ac:dyDescent="0.25">
      <c r="A81" t="s">
        <v>26</v>
      </c>
      <c r="B81" s="1" t="s">
        <v>11</v>
      </c>
      <c r="C81" s="1">
        <v>2016</v>
      </c>
      <c r="D81" s="1">
        <v>4</v>
      </c>
      <c r="E81" s="1">
        <v>5</v>
      </c>
      <c r="F81" s="1">
        <v>4.5</v>
      </c>
      <c r="G81" s="1">
        <v>1</v>
      </c>
      <c r="H81" s="2">
        <v>0.66120000000000001</v>
      </c>
      <c r="I81" s="2">
        <v>1.2593641291157673</v>
      </c>
      <c r="J81" s="6">
        <v>1645</v>
      </c>
      <c r="K81" s="7">
        <v>61.337386018237083</v>
      </c>
      <c r="L81" s="7">
        <v>3.7082066869300911</v>
      </c>
      <c r="M81">
        <v>0.1</v>
      </c>
      <c r="O81" s="7"/>
    </row>
    <row r="82" spans="1:15" x14ac:dyDescent="0.25">
      <c r="A82" t="s">
        <v>26</v>
      </c>
      <c r="B82" s="1" t="s">
        <v>11</v>
      </c>
      <c r="C82" s="1">
        <v>2017</v>
      </c>
      <c r="D82" s="1">
        <v>4</v>
      </c>
      <c r="E82" s="1">
        <v>5</v>
      </c>
      <c r="F82" s="1">
        <v>4.5</v>
      </c>
      <c r="G82" s="1">
        <v>1</v>
      </c>
      <c r="H82" s="2">
        <v>0.48229999999999995</v>
      </c>
      <c r="I82" s="2">
        <v>1.268678604507564</v>
      </c>
      <c r="J82" s="3">
        <v>1671</v>
      </c>
      <c r="K82">
        <v>61.337386018237083</v>
      </c>
      <c r="L82">
        <v>3.7082066869300911</v>
      </c>
      <c r="M82">
        <v>0.1</v>
      </c>
    </row>
    <row r="83" spans="1:15" x14ac:dyDescent="0.25">
      <c r="A83" s="8" t="s">
        <v>26</v>
      </c>
      <c r="B83" s="1" t="s">
        <v>11</v>
      </c>
      <c r="C83" s="1">
        <v>2018</v>
      </c>
      <c r="D83" s="1">
        <v>4</v>
      </c>
      <c r="E83" s="1">
        <v>5</v>
      </c>
      <c r="F83" s="1">
        <v>4.5</v>
      </c>
      <c r="G83" s="1">
        <v>1</v>
      </c>
      <c r="H83" s="2">
        <v>0.88069999999999993</v>
      </c>
      <c r="I83" s="2">
        <v>1.1491563085896812</v>
      </c>
      <c r="J83" s="3">
        <v>1655</v>
      </c>
      <c r="K83">
        <v>61.337386018237083</v>
      </c>
      <c r="L83">
        <v>3.7082066869300911</v>
      </c>
      <c r="M83">
        <v>0.1</v>
      </c>
    </row>
    <row r="84" spans="1:15" x14ac:dyDescent="0.25">
      <c r="A84" s="8" t="s">
        <v>27</v>
      </c>
      <c r="B84" s="1" t="s">
        <v>11</v>
      </c>
      <c r="C84" s="1">
        <v>2014</v>
      </c>
      <c r="D84" s="1">
        <v>3</v>
      </c>
      <c r="E84" s="1">
        <v>3</v>
      </c>
      <c r="F84" s="1">
        <v>3</v>
      </c>
      <c r="G84" s="1">
        <v>0</v>
      </c>
      <c r="H84" s="2">
        <v>1</v>
      </c>
      <c r="I84" s="2">
        <v>0.82403456656764784</v>
      </c>
      <c r="J84" s="3">
        <v>18627</v>
      </c>
      <c r="K84">
        <v>8.5041504319837369</v>
      </c>
      <c r="L84">
        <v>2.4902591902422495</v>
      </c>
      <c r="M84">
        <v>109.5</v>
      </c>
    </row>
    <row r="85" spans="1:15" x14ac:dyDescent="0.25">
      <c r="A85" s="8" t="s">
        <v>27</v>
      </c>
      <c r="B85" s="1" t="s">
        <v>11</v>
      </c>
      <c r="C85" s="1">
        <v>2015</v>
      </c>
      <c r="D85" s="1">
        <v>3</v>
      </c>
      <c r="E85" s="1">
        <v>3</v>
      </c>
      <c r="F85" s="1">
        <v>3</v>
      </c>
      <c r="G85" s="1">
        <v>0</v>
      </c>
      <c r="H85" s="2">
        <v>1</v>
      </c>
      <c r="I85" s="2">
        <v>0.92686616841659353</v>
      </c>
      <c r="J85" s="3">
        <v>18360</v>
      </c>
      <c r="K85">
        <v>8.5041504319837369</v>
      </c>
      <c r="L85">
        <v>2.4902591902422495</v>
      </c>
      <c r="M85">
        <v>107.9</v>
      </c>
    </row>
    <row r="86" spans="1:15" x14ac:dyDescent="0.25">
      <c r="A86" t="s">
        <v>27</v>
      </c>
      <c r="B86" s="1" t="s">
        <v>11</v>
      </c>
      <c r="C86" s="1">
        <v>2016</v>
      </c>
      <c r="D86" s="1">
        <v>3</v>
      </c>
      <c r="E86" s="1">
        <v>3</v>
      </c>
      <c r="F86" s="1">
        <v>3</v>
      </c>
      <c r="G86" s="1">
        <v>0</v>
      </c>
      <c r="H86" s="2">
        <v>0.92879999999999996</v>
      </c>
      <c r="I86" s="2">
        <v>1.2158444952629859</v>
      </c>
      <c r="J86" s="6">
        <v>17709</v>
      </c>
      <c r="K86" s="7">
        <v>8.5041504319837369</v>
      </c>
      <c r="L86" s="7">
        <v>2.4902591902422495</v>
      </c>
      <c r="M86">
        <v>106.5</v>
      </c>
      <c r="O86" s="7"/>
    </row>
    <row r="87" spans="1:15" x14ac:dyDescent="0.25">
      <c r="A87" t="s">
        <v>27</v>
      </c>
      <c r="B87" s="1" t="s">
        <v>11</v>
      </c>
      <c r="C87" s="1">
        <v>2017</v>
      </c>
      <c r="D87" s="1">
        <v>3</v>
      </c>
      <c r="E87" s="1">
        <v>3</v>
      </c>
      <c r="F87" s="1">
        <v>3</v>
      </c>
      <c r="G87" s="1">
        <v>0</v>
      </c>
      <c r="H87" s="2">
        <v>1.2161999999999999</v>
      </c>
      <c r="I87" s="2">
        <v>0.85516937150286731</v>
      </c>
      <c r="J87" s="3">
        <v>17883</v>
      </c>
      <c r="K87">
        <v>8.5041504319837369</v>
      </c>
      <c r="L87">
        <v>2.4902591902422495</v>
      </c>
      <c r="M87">
        <v>105.1</v>
      </c>
    </row>
    <row r="88" spans="1:15" x14ac:dyDescent="0.25">
      <c r="A88" s="8" t="s">
        <v>27</v>
      </c>
      <c r="B88" s="1" t="s">
        <v>11</v>
      </c>
      <c r="C88" s="1">
        <v>2018</v>
      </c>
      <c r="D88" s="1">
        <v>3</v>
      </c>
      <c r="E88" s="1">
        <v>3</v>
      </c>
      <c r="F88" s="1">
        <v>3</v>
      </c>
      <c r="G88" s="1">
        <v>0</v>
      </c>
      <c r="H88" s="2">
        <v>1.7265000000000001</v>
      </c>
      <c r="I88" s="2">
        <v>0.82177194845449586</v>
      </c>
      <c r="J88" s="3">
        <v>17734</v>
      </c>
      <c r="K88">
        <v>8.5041504319837369</v>
      </c>
      <c r="L88">
        <v>2.4902591902422495</v>
      </c>
      <c r="M88">
        <v>104.2</v>
      </c>
    </row>
    <row r="89" spans="1:15" x14ac:dyDescent="0.25">
      <c r="A89" s="8" t="s">
        <v>28</v>
      </c>
      <c r="B89" s="1" t="s">
        <v>11</v>
      </c>
      <c r="C89" s="1">
        <v>2014</v>
      </c>
      <c r="D89" s="1">
        <v>1</v>
      </c>
      <c r="E89" s="1">
        <v>1</v>
      </c>
      <c r="F89" s="1">
        <v>1</v>
      </c>
      <c r="G89" s="1">
        <v>0</v>
      </c>
      <c r="H89" s="2">
        <v>1.7589106928313978</v>
      </c>
      <c r="I89" s="2">
        <v>1.1225757165036103</v>
      </c>
      <c r="J89" s="3">
        <v>37200</v>
      </c>
      <c r="K89">
        <v>0.39663135017658241</v>
      </c>
      <c r="L89">
        <v>63.613148600923665</v>
      </c>
      <c r="M89">
        <v>5218.8</v>
      </c>
    </row>
    <row r="90" spans="1:15" x14ac:dyDescent="0.25">
      <c r="A90" s="8" t="s">
        <v>28</v>
      </c>
      <c r="B90" s="1" t="s">
        <v>11</v>
      </c>
      <c r="C90" s="1">
        <v>2015</v>
      </c>
      <c r="D90" s="1">
        <v>1</v>
      </c>
      <c r="E90" s="1">
        <v>1</v>
      </c>
      <c r="F90" s="1">
        <v>1</v>
      </c>
      <c r="G90" s="1">
        <v>0</v>
      </c>
      <c r="H90" s="2">
        <v>0.72370000000000001</v>
      </c>
      <c r="I90" s="2">
        <v>1.0772936335027838</v>
      </c>
      <c r="J90" s="3">
        <v>37822</v>
      </c>
      <c r="K90">
        <v>0.39663135017658241</v>
      </c>
      <c r="L90">
        <v>63.613148600923665</v>
      </c>
      <c r="M90">
        <v>5306</v>
      </c>
    </row>
    <row r="91" spans="1:15" x14ac:dyDescent="0.25">
      <c r="A91" t="s">
        <v>28</v>
      </c>
      <c r="B91" s="1" t="s">
        <v>11</v>
      </c>
      <c r="C91" s="1">
        <v>2016</v>
      </c>
      <c r="D91" s="1">
        <v>1</v>
      </c>
      <c r="E91" s="1">
        <v>1</v>
      </c>
      <c r="F91" s="1">
        <v>1</v>
      </c>
      <c r="G91" s="1">
        <v>0</v>
      </c>
      <c r="H91" s="2">
        <v>0.90859999999999996</v>
      </c>
      <c r="I91" s="2">
        <v>1.1902837790493985</v>
      </c>
      <c r="J91" s="6">
        <v>36810</v>
      </c>
      <c r="K91" s="7">
        <v>0.39663135017658241</v>
      </c>
      <c r="L91" s="7">
        <v>63.613148600923665</v>
      </c>
      <c r="M91">
        <v>5406.2</v>
      </c>
      <c r="O91" s="7"/>
    </row>
    <row r="92" spans="1:15" x14ac:dyDescent="0.25">
      <c r="A92" t="s">
        <v>28</v>
      </c>
      <c r="B92" s="1" t="s">
        <v>11</v>
      </c>
      <c r="C92" s="1">
        <v>2017</v>
      </c>
      <c r="D92" s="1">
        <v>1</v>
      </c>
      <c r="E92" s="1">
        <v>1</v>
      </c>
      <c r="F92" s="1">
        <v>1</v>
      </c>
      <c r="G92" s="1">
        <v>0</v>
      </c>
      <c r="H92" s="2">
        <v>1.0259</v>
      </c>
      <c r="I92" s="2">
        <v>1.1586666352786084</v>
      </c>
      <c r="J92" s="3">
        <v>39348</v>
      </c>
      <c r="K92">
        <v>0.39663135017658241</v>
      </c>
      <c r="L92">
        <v>63.613148600923665</v>
      </c>
      <c r="M92">
        <v>5520.1</v>
      </c>
    </row>
    <row r="93" spans="1:15" x14ac:dyDescent="0.25">
      <c r="A93" s="8" t="s">
        <v>28</v>
      </c>
      <c r="B93" s="1" t="s">
        <v>11</v>
      </c>
      <c r="C93" s="1">
        <v>2018</v>
      </c>
      <c r="D93" s="1">
        <v>1</v>
      </c>
      <c r="E93" s="1">
        <v>1</v>
      </c>
      <c r="F93" s="1">
        <v>1</v>
      </c>
      <c r="G93" s="1">
        <v>0</v>
      </c>
      <c r="H93" s="2">
        <v>1.2041999999999999</v>
      </c>
      <c r="I93" s="2">
        <v>1.0747671820735727</v>
      </c>
      <c r="J93" s="3">
        <v>39886</v>
      </c>
      <c r="K93">
        <v>0.39663135017658241</v>
      </c>
      <c r="L93">
        <v>63.613148600923665</v>
      </c>
      <c r="M93">
        <v>5595.6</v>
      </c>
    </row>
    <row r="94" spans="1:15" x14ac:dyDescent="0.25">
      <c r="A94" s="8" t="s">
        <v>29</v>
      </c>
      <c r="B94" s="1" t="s">
        <v>11</v>
      </c>
      <c r="C94" s="1">
        <v>2014</v>
      </c>
      <c r="D94" s="1">
        <v>2</v>
      </c>
      <c r="E94" s="1">
        <v>2</v>
      </c>
      <c r="F94" s="1">
        <v>2</v>
      </c>
      <c r="G94" s="1">
        <v>0</v>
      </c>
      <c r="H94" s="2">
        <v>1.175225867480995</v>
      </c>
      <c r="I94" s="2">
        <v>1.046294847566315</v>
      </c>
      <c r="J94" s="3">
        <v>32263</v>
      </c>
      <c r="K94">
        <v>1.8158194955000633</v>
      </c>
      <c r="L94">
        <v>6.7245531753073902</v>
      </c>
      <c r="M94">
        <v>57</v>
      </c>
    </row>
    <row r="95" spans="1:15" x14ac:dyDescent="0.25">
      <c r="A95" s="8" t="s">
        <v>29</v>
      </c>
      <c r="B95" s="1" t="s">
        <v>11</v>
      </c>
      <c r="C95" s="1">
        <v>2015</v>
      </c>
      <c r="D95" s="1">
        <v>2</v>
      </c>
      <c r="E95" s="1">
        <v>2</v>
      </c>
      <c r="F95" s="1">
        <v>2</v>
      </c>
      <c r="G95" s="1">
        <v>0</v>
      </c>
      <c r="H95" s="2">
        <v>0.90700000000000003</v>
      </c>
      <c r="I95" s="2">
        <v>1.0869555507844757</v>
      </c>
      <c r="J95" s="3">
        <v>32803</v>
      </c>
      <c r="K95">
        <v>1.8158194955000633</v>
      </c>
      <c r="L95">
        <v>6.7245531753073902</v>
      </c>
      <c r="M95">
        <v>58</v>
      </c>
    </row>
    <row r="96" spans="1:15" x14ac:dyDescent="0.25">
      <c r="A96" t="s">
        <v>29</v>
      </c>
      <c r="B96" s="1" t="s">
        <v>11</v>
      </c>
      <c r="C96" s="1">
        <v>2016</v>
      </c>
      <c r="D96" s="1">
        <v>2</v>
      </c>
      <c r="E96" s="1">
        <v>2</v>
      </c>
      <c r="F96" s="1">
        <v>2</v>
      </c>
      <c r="G96" s="1">
        <v>0</v>
      </c>
      <c r="H96" s="2">
        <v>1.0076000000000001</v>
      </c>
      <c r="I96" s="2">
        <v>1.2139967312381106</v>
      </c>
      <c r="J96" s="6">
        <v>31556</v>
      </c>
      <c r="K96" s="7">
        <v>1.8158194955000633</v>
      </c>
      <c r="L96" s="7">
        <v>6.7245531753073902</v>
      </c>
      <c r="M96">
        <v>59</v>
      </c>
      <c r="O96" s="7"/>
    </row>
    <row r="97" spans="1:15" x14ac:dyDescent="0.25">
      <c r="A97" t="s">
        <v>29</v>
      </c>
      <c r="B97" s="1" t="s">
        <v>11</v>
      </c>
      <c r="C97" s="1">
        <v>2017</v>
      </c>
      <c r="D97" s="1">
        <v>2</v>
      </c>
      <c r="E97" s="1">
        <v>2</v>
      </c>
      <c r="F97" s="1">
        <v>2</v>
      </c>
      <c r="G97" s="1">
        <v>0</v>
      </c>
      <c r="H97" s="2">
        <v>0.90650000000000008</v>
      </c>
      <c r="I97" s="2">
        <v>1.2715335393611429</v>
      </c>
      <c r="J97" s="3">
        <v>34011</v>
      </c>
      <c r="K97">
        <v>1.8158194955000633</v>
      </c>
      <c r="L97">
        <v>6.7245531753073902</v>
      </c>
      <c r="M97">
        <v>60.1</v>
      </c>
    </row>
    <row r="98" spans="1:15" x14ac:dyDescent="0.25">
      <c r="A98" s="8" t="s">
        <v>29</v>
      </c>
      <c r="B98" s="1" t="s">
        <v>11</v>
      </c>
      <c r="C98" s="1">
        <v>2018</v>
      </c>
      <c r="D98" s="1">
        <v>2</v>
      </c>
      <c r="E98" s="1">
        <v>2</v>
      </c>
      <c r="F98" s="1">
        <v>2</v>
      </c>
      <c r="G98" s="1">
        <v>0</v>
      </c>
      <c r="H98" s="2">
        <v>0.9647</v>
      </c>
      <c r="I98" s="2">
        <v>1.0040282476784066</v>
      </c>
      <c r="J98" s="3">
        <v>34574</v>
      </c>
      <c r="K98">
        <v>1.8158194955000633</v>
      </c>
      <c r="L98">
        <v>6.7245531753073902</v>
      </c>
      <c r="M98">
        <v>61.1</v>
      </c>
    </row>
    <row r="99" spans="1:15" x14ac:dyDescent="0.25">
      <c r="A99" s="8" t="s">
        <v>30</v>
      </c>
      <c r="B99" s="1" t="s">
        <v>11</v>
      </c>
      <c r="C99" s="1">
        <v>2014</v>
      </c>
      <c r="D99" s="1">
        <v>2</v>
      </c>
      <c r="E99" s="1">
        <v>3</v>
      </c>
      <c r="F99" s="1">
        <v>2.5</v>
      </c>
      <c r="G99" s="1">
        <v>1</v>
      </c>
      <c r="H99" s="2">
        <v>0.63837045956251259</v>
      </c>
      <c r="I99" s="2">
        <v>1.2257085333746323</v>
      </c>
      <c r="J99" s="3">
        <v>13506</v>
      </c>
      <c r="K99">
        <v>3.6815771787021134</v>
      </c>
      <c r="L99">
        <v>2.0834889104622509</v>
      </c>
      <c r="M99">
        <v>2.2000000000000002</v>
      </c>
    </row>
    <row r="100" spans="1:15" x14ac:dyDescent="0.25">
      <c r="A100" s="8" t="s">
        <v>30</v>
      </c>
      <c r="B100" s="1" t="s">
        <v>11</v>
      </c>
      <c r="C100" s="1">
        <v>2015</v>
      </c>
      <c r="D100" s="1">
        <v>2</v>
      </c>
      <c r="E100" s="1">
        <v>3</v>
      </c>
      <c r="F100" s="1">
        <v>2.5</v>
      </c>
      <c r="G100" s="1">
        <v>1</v>
      </c>
      <c r="H100" s="2">
        <v>0.90959999999999996</v>
      </c>
      <c r="I100" s="2">
        <v>1.1166208871486178</v>
      </c>
      <c r="J100" s="3">
        <v>13511</v>
      </c>
      <c r="K100">
        <v>3.6815771787021134</v>
      </c>
      <c r="L100">
        <v>2.0834889104622509</v>
      </c>
      <c r="M100">
        <v>2.2000000000000002</v>
      </c>
    </row>
    <row r="101" spans="1:15" x14ac:dyDescent="0.25">
      <c r="A101" t="s">
        <v>30</v>
      </c>
      <c r="B101" s="1" t="s">
        <v>11</v>
      </c>
      <c r="C101" s="1">
        <v>2016</v>
      </c>
      <c r="D101" s="1">
        <v>2</v>
      </c>
      <c r="E101" s="1">
        <v>3</v>
      </c>
      <c r="F101" s="1">
        <v>2.5</v>
      </c>
      <c r="G101" s="1">
        <v>1</v>
      </c>
      <c r="H101" s="2">
        <v>0.90959999999999996</v>
      </c>
      <c r="I101" s="2">
        <v>1.3753755694116887</v>
      </c>
      <c r="J101" s="6">
        <v>13391</v>
      </c>
      <c r="K101" s="7">
        <v>3.6815771787021134</v>
      </c>
      <c r="L101" s="7">
        <v>2.0834889104622509</v>
      </c>
      <c r="M101">
        <v>2.2999999999999998</v>
      </c>
      <c r="O101" s="7"/>
    </row>
    <row r="102" spans="1:15" x14ac:dyDescent="0.25">
      <c r="A102" t="s">
        <v>30</v>
      </c>
      <c r="B102" s="1" t="s">
        <v>11</v>
      </c>
      <c r="C102" s="1">
        <v>2017</v>
      </c>
      <c r="D102" s="1">
        <v>2</v>
      </c>
      <c r="E102" s="1">
        <v>3</v>
      </c>
      <c r="F102" s="1">
        <v>2.5</v>
      </c>
      <c r="G102" s="1">
        <v>1</v>
      </c>
      <c r="H102" s="2">
        <v>1.1780999999999999</v>
      </c>
      <c r="I102" s="2">
        <v>1.3616554785621482</v>
      </c>
      <c r="J102" s="3">
        <v>13612</v>
      </c>
      <c r="K102">
        <v>3.6815771787021134</v>
      </c>
      <c r="L102">
        <v>2.0834889104622509</v>
      </c>
      <c r="M102">
        <v>2.2999999999999998</v>
      </c>
    </row>
    <row r="103" spans="1:15" x14ac:dyDescent="0.25">
      <c r="A103" s="8" t="s">
        <v>30</v>
      </c>
      <c r="B103" s="1" t="s">
        <v>11</v>
      </c>
      <c r="C103" s="1">
        <v>2018</v>
      </c>
      <c r="D103" s="1">
        <v>2</v>
      </c>
      <c r="E103" s="1">
        <v>3</v>
      </c>
      <c r="F103" s="1">
        <v>2.5</v>
      </c>
      <c r="G103" s="1">
        <v>1</v>
      </c>
      <c r="H103" s="2">
        <v>0.96329999999999993</v>
      </c>
      <c r="I103" s="2">
        <v>1.0436678649301667</v>
      </c>
      <c r="J103" s="3">
        <v>13680</v>
      </c>
      <c r="K103">
        <v>3.6815771787021134</v>
      </c>
      <c r="L103">
        <v>2.0834889104622509</v>
      </c>
      <c r="M103">
        <v>2.2999999999999998</v>
      </c>
    </row>
    <row r="104" spans="1:15" x14ac:dyDescent="0.25">
      <c r="A104" s="8" t="s">
        <v>31</v>
      </c>
      <c r="B104" s="1" t="s">
        <v>11</v>
      </c>
      <c r="C104" s="1">
        <v>2014</v>
      </c>
      <c r="D104" s="1">
        <v>1</v>
      </c>
      <c r="E104" s="1">
        <v>1</v>
      </c>
      <c r="F104" s="1">
        <v>1</v>
      </c>
      <c r="G104" s="1">
        <v>0</v>
      </c>
      <c r="H104" s="2">
        <v>1.2822488584474885</v>
      </c>
      <c r="I104" s="2">
        <v>1.5034554117752257</v>
      </c>
      <c r="J104" s="3">
        <v>68642</v>
      </c>
      <c r="K104">
        <v>2.4750703144975712</v>
      </c>
      <c r="L104">
        <v>14.424699565328561</v>
      </c>
      <c r="M104">
        <v>341.5</v>
      </c>
    </row>
    <row r="105" spans="1:15" x14ac:dyDescent="0.25">
      <c r="A105" s="8" t="s">
        <v>31</v>
      </c>
      <c r="B105" s="1" t="s">
        <v>11</v>
      </c>
      <c r="C105" s="1">
        <v>2015</v>
      </c>
      <c r="D105" s="1">
        <v>1</v>
      </c>
      <c r="E105" s="1">
        <v>1</v>
      </c>
      <c r="F105" s="1">
        <v>1</v>
      </c>
      <c r="G105" s="1">
        <v>0</v>
      </c>
      <c r="H105" s="2">
        <v>0.96530000000000005</v>
      </c>
      <c r="I105" s="2">
        <v>2.0221644425751029</v>
      </c>
      <c r="J105" s="3">
        <v>74100</v>
      </c>
      <c r="K105">
        <v>2.4750703144975712</v>
      </c>
      <c r="L105">
        <v>14.424699565328561</v>
      </c>
      <c r="M105">
        <v>368.6</v>
      </c>
    </row>
    <row r="106" spans="1:15" x14ac:dyDescent="0.25">
      <c r="A106" t="s">
        <v>31</v>
      </c>
      <c r="B106" s="1" t="s">
        <v>11</v>
      </c>
      <c r="C106" s="1">
        <v>2016</v>
      </c>
      <c r="D106" s="1">
        <v>1</v>
      </c>
      <c r="E106" s="1">
        <v>1</v>
      </c>
      <c r="F106" s="1">
        <v>1</v>
      </c>
      <c r="G106" s="1">
        <v>0</v>
      </c>
      <c r="H106" s="2">
        <v>0.88560000000000005</v>
      </c>
      <c r="I106" s="2">
        <v>2.6161891169027429</v>
      </c>
      <c r="J106" s="6">
        <v>78220</v>
      </c>
      <c r="K106" s="7">
        <v>2.4750703144975712</v>
      </c>
      <c r="L106" s="7">
        <v>14.424699565328561</v>
      </c>
      <c r="M106">
        <v>399.3</v>
      </c>
      <c r="O106" s="7"/>
    </row>
    <row r="107" spans="1:15" x14ac:dyDescent="0.25">
      <c r="A107" t="s">
        <v>31</v>
      </c>
      <c r="B107" s="1" t="s">
        <v>11</v>
      </c>
      <c r="C107" s="1">
        <v>2017</v>
      </c>
      <c r="D107" s="1">
        <v>1</v>
      </c>
      <c r="E107" s="1">
        <v>1</v>
      </c>
      <c r="F107" s="1">
        <v>1</v>
      </c>
      <c r="G107" s="1">
        <v>0</v>
      </c>
      <c r="H107" s="2">
        <v>1.0002</v>
      </c>
      <c r="I107" s="2">
        <v>2.0507877865913291</v>
      </c>
      <c r="J107" s="3">
        <v>87146</v>
      </c>
      <c r="K107">
        <v>2.4750703144975712</v>
      </c>
      <c r="L107">
        <v>14.424699565328561</v>
      </c>
      <c r="M107">
        <v>433.5</v>
      </c>
    </row>
    <row r="108" spans="1:15" x14ac:dyDescent="0.25">
      <c r="A108" s="8" t="s">
        <v>31</v>
      </c>
      <c r="B108" s="1" t="s">
        <v>11</v>
      </c>
      <c r="C108" s="1">
        <v>2018</v>
      </c>
      <c r="D108" s="1">
        <v>1</v>
      </c>
      <c r="E108" s="1">
        <v>1</v>
      </c>
      <c r="F108" s="1">
        <v>1</v>
      </c>
      <c r="G108" s="1">
        <v>0</v>
      </c>
      <c r="H108" s="2">
        <v>0.91780000000000006</v>
      </c>
      <c r="I108" s="2">
        <v>0.96477391203614316</v>
      </c>
      <c r="J108" s="3">
        <v>94159</v>
      </c>
      <c r="K108">
        <v>2.4750703144975712</v>
      </c>
      <c r="L108">
        <v>14.424699565328561</v>
      </c>
      <c r="M108">
        <v>468.4</v>
      </c>
    </row>
    <row r="109" spans="1:15" x14ac:dyDescent="0.25">
      <c r="A109" s="8" t="s">
        <v>32</v>
      </c>
      <c r="B109" s="1" t="s">
        <v>11</v>
      </c>
      <c r="C109" s="1">
        <v>2014</v>
      </c>
      <c r="D109" s="1">
        <v>1</v>
      </c>
      <c r="E109" s="1">
        <v>2</v>
      </c>
      <c r="F109" s="1">
        <v>1.5</v>
      </c>
      <c r="G109" s="1">
        <v>1</v>
      </c>
      <c r="H109" s="2">
        <v>1.1657934400344505</v>
      </c>
      <c r="I109" s="2">
        <v>1.0820991779204028</v>
      </c>
      <c r="J109" s="3">
        <v>156292</v>
      </c>
      <c r="K109">
        <v>3.8017413236352522</v>
      </c>
      <c r="L109">
        <v>30.392912417917671</v>
      </c>
      <c r="M109">
        <v>501.1</v>
      </c>
    </row>
    <row r="110" spans="1:15" x14ac:dyDescent="0.25">
      <c r="A110" s="8" t="s">
        <v>32</v>
      </c>
      <c r="B110" s="1" t="s">
        <v>11</v>
      </c>
      <c r="C110" s="1">
        <v>2015</v>
      </c>
      <c r="D110" s="1">
        <v>1</v>
      </c>
      <c r="E110" s="1">
        <v>2</v>
      </c>
      <c r="F110" s="1">
        <v>1.5</v>
      </c>
      <c r="G110" s="1">
        <v>1</v>
      </c>
      <c r="H110" s="2">
        <v>1.6138999999999999</v>
      </c>
      <c r="I110" s="2">
        <v>1.1344466149629715</v>
      </c>
      <c r="J110" s="3">
        <v>158589</v>
      </c>
      <c r="K110">
        <v>3.8017413236352522</v>
      </c>
      <c r="L110">
        <v>30.392912417917671</v>
      </c>
      <c r="M110">
        <v>508.4</v>
      </c>
    </row>
    <row r="111" spans="1:15" x14ac:dyDescent="0.25">
      <c r="A111" t="s">
        <v>32</v>
      </c>
      <c r="B111" s="1" t="s">
        <v>11</v>
      </c>
      <c r="C111" s="1">
        <v>2016</v>
      </c>
      <c r="D111" s="1">
        <v>1</v>
      </c>
      <c r="E111" s="1">
        <v>2</v>
      </c>
      <c r="F111" s="1">
        <v>1.5</v>
      </c>
      <c r="G111" s="1">
        <v>1</v>
      </c>
      <c r="H111" s="2">
        <v>1.0161</v>
      </c>
      <c r="I111" s="2">
        <v>1.2997486945878809</v>
      </c>
      <c r="J111" s="6">
        <v>157007</v>
      </c>
      <c r="K111" s="7">
        <v>3.8017413236352522</v>
      </c>
      <c r="L111" s="7">
        <v>30.392912417917671</v>
      </c>
      <c r="M111">
        <v>518</v>
      </c>
      <c r="O111" s="7"/>
    </row>
    <row r="112" spans="1:15" x14ac:dyDescent="0.25">
      <c r="A112" t="s">
        <v>32</v>
      </c>
      <c r="B112" s="1" t="s">
        <v>11</v>
      </c>
      <c r="C112" s="1">
        <v>2017</v>
      </c>
      <c r="D112" s="1">
        <v>1</v>
      </c>
      <c r="E112" s="1">
        <v>2</v>
      </c>
      <c r="F112" s="1">
        <v>1.5</v>
      </c>
      <c r="G112" s="1">
        <v>1</v>
      </c>
      <c r="H112" s="2">
        <v>1.0490000000000002</v>
      </c>
      <c r="I112" s="2">
        <v>1.7814302918277041</v>
      </c>
      <c r="J112" s="3">
        <v>164649</v>
      </c>
      <c r="K112">
        <v>3.8017413236352522</v>
      </c>
      <c r="L112">
        <v>30.392912417917671</v>
      </c>
      <c r="M112">
        <v>527.9</v>
      </c>
    </row>
    <row r="113" spans="1:15" x14ac:dyDescent="0.25">
      <c r="A113" s="8" t="s">
        <v>32</v>
      </c>
      <c r="B113" s="1" t="s">
        <v>11</v>
      </c>
      <c r="C113" s="1">
        <v>2018</v>
      </c>
      <c r="D113" s="1">
        <v>1</v>
      </c>
      <c r="E113" s="1">
        <v>2</v>
      </c>
      <c r="F113" s="1">
        <v>1.5</v>
      </c>
      <c r="G113" s="1">
        <v>1</v>
      </c>
      <c r="H113" s="2">
        <v>1.0116000000000001</v>
      </c>
      <c r="I113" s="2">
        <v>1.0911602776732894</v>
      </c>
      <c r="J113" s="3">
        <v>168139</v>
      </c>
      <c r="K113">
        <v>3.8017413236352522</v>
      </c>
      <c r="L113">
        <v>30.392912417917671</v>
      </c>
      <c r="M113">
        <v>539.1</v>
      </c>
    </row>
    <row r="114" spans="1:15" x14ac:dyDescent="0.25">
      <c r="A114" s="8" t="s">
        <v>33</v>
      </c>
      <c r="B114" s="1" t="s">
        <v>11</v>
      </c>
      <c r="C114" s="1">
        <v>2014</v>
      </c>
      <c r="D114" s="1">
        <v>1</v>
      </c>
      <c r="E114" s="1">
        <v>1</v>
      </c>
      <c r="F114" s="1">
        <v>1</v>
      </c>
      <c r="G114" s="1">
        <v>0</v>
      </c>
      <c r="H114" s="2">
        <v>1.0052039617257009</v>
      </c>
      <c r="I114" s="2">
        <v>1.2587917911166779</v>
      </c>
      <c r="J114" s="3">
        <v>88565</v>
      </c>
      <c r="K114">
        <v>0.46923819803442596</v>
      </c>
      <c r="L114">
        <v>40.857808328125891</v>
      </c>
      <c r="M114">
        <v>4445.3</v>
      </c>
    </row>
    <row r="115" spans="1:15" x14ac:dyDescent="0.25">
      <c r="A115" s="8" t="s">
        <v>33</v>
      </c>
      <c r="B115" s="1" t="s">
        <v>11</v>
      </c>
      <c r="C115" s="1">
        <v>2015</v>
      </c>
      <c r="D115" s="1">
        <v>1</v>
      </c>
      <c r="E115" s="1">
        <v>1</v>
      </c>
      <c r="F115" s="1">
        <v>1</v>
      </c>
      <c r="G115" s="1">
        <v>0</v>
      </c>
      <c r="H115" s="2">
        <v>1.0678000000000001</v>
      </c>
      <c r="I115" s="2">
        <v>1.3553793486808212</v>
      </c>
      <c r="J115" s="3">
        <v>90467</v>
      </c>
      <c r="K115">
        <v>0.46923819803442596</v>
      </c>
      <c r="L115">
        <v>40.857808328125891</v>
      </c>
      <c r="M115">
        <v>4540.8</v>
      </c>
    </row>
    <row r="116" spans="1:15" x14ac:dyDescent="0.25">
      <c r="A116" t="s">
        <v>33</v>
      </c>
      <c r="B116" s="1" t="s">
        <v>11</v>
      </c>
      <c r="C116" s="1">
        <v>2016</v>
      </c>
      <c r="D116" s="1">
        <v>1</v>
      </c>
      <c r="E116" s="1">
        <v>1</v>
      </c>
      <c r="F116" s="1">
        <v>1</v>
      </c>
      <c r="G116" s="1">
        <v>0</v>
      </c>
      <c r="H116" s="2">
        <v>0.96349999999999991</v>
      </c>
      <c r="I116" s="2">
        <v>1.2856770187955704</v>
      </c>
      <c r="J116" s="6">
        <v>88015</v>
      </c>
      <c r="K116" s="7">
        <v>0.46923819803442596</v>
      </c>
      <c r="L116" s="7">
        <v>40.857808328125891</v>
      </c>
      <c r="M116">
        <v>4644.5</v>
      </c>
      <c r="O116" s="7"/>
    </row>
    <row r="117" spans="1:15" x14ac:dyDescent="0.25">
      <c r="A117" t="s">
        <v>33</v>
      </c>
      <c r="B117" s="1" t="s">
        <v>11</v>
      </c>
      <c r="C117" s="1">
        <v>2017</v>
      </c>
      <c r="D117" s="1">
        <v>1</v>
      </c>
      <c r="E117" s="1">
        <v>1</v>
      </c>
      <c r="F117" s="1">
        <v>1</v>
      </c>
      <c r="G117" s="1">
        <v>0</v>
      </c>
      <c r="H117" s="2">
        <v>0.88659999999999994</v>
      </c>
      <c r="I117" s="2">
        <v>1.3617808916880956</v>
      </c>
      <c r="J117" s="3">
        <v>94240</v>
      </c>
      <c r="K117">
        <v>0.46923819803442596</v>
      </c>
      <c r="L117">
        <v>40.857808328125891</v>
      </c>
      <c r="M117">
        <v>4730.1000000000004</v>
      </c>
    </row>
    <row r="118" spans="1:15" x14ac:dyDescent="0.25">
      <c r="A118" s="8" t="s">
        <v>33</v>
      </c>
      <c r="B118" s="1" t="s">
        <v>11</v>
      </c>
      <c r="C118" s="1">
        <v>2018</v>
      </c>
      <c r="D118" s="1">
        <v>1</v>
      </c>
      <c r="E118" s="1">
        <v>1</v>
      </c>
      <c r="F118" s="1">
        <v>1</v>
      </c>
      <c r="G118" s="1">
        <v>0</v>
      </c>
      <c r="H118" s="2">
        <v>0.92920000000000003</v>
      </c>
      <c r="I118" s="2">
        <v>1.0037017025838919</v>
      </c>
      <c r="J118" s="3">
        <v>95159</v>
      </c>
      <c r="K118">
        <v>0.46923819803442596</v>
      </c>
      <c r="L118">
        <v>40.857808328125891</v>
      </c>
      <c r="M118">
        <v>4776.3</v>
      </c>
    </row>
    <row r="119" spans="1:15" x14ac:dyDescent="0.25">
      <c r="A119" s="8" t="s">
        <v>34</v>
      </c>
      <c r="B119" s="1" t="s">
        <v>11</v>
      </c>
      <c r="C119" s="1">
        <v>2014</v>
      </c>
      <c r="D119" s="1">
        <v>1</v>
      </c>
      <c r="E119" s="1">
        <v>1</v>
      </c>
      <c r="F119" s="1">
        <v>1</v>
      </c>
      <c r="G119" s="1">
        <v>0</v>
      </c>
      <c r="J119" s="3">
        <v>350922</v>
      </c>
      <c r="K119">
        <v>0.7</v>
      </c>
      <c r="L119">
        <v>60.2</v>
      </c>
      <c r="M119">
        <v>3183.3</v>
      </c>
    </row>
    <row r="120" spans="1:15" x14ac:dyDescent="0.25">
      <c r="A120" s="8" t="s">
        <v>34</v>
      </c>
      <c r="B120" s="1" t="s">
        <v>11</v>
      </c>
      <c r="C120" s="1">
        <v>2015</v>
      </c>
      <c r="D120" s="1">
        <v>1</v>
      </c>
      <c r="E120" s="1">
        <v>1</v>
      </c>
      <c r="F120" s="1">
        <v>1</v>
      </c>
      <c r="G120" s="1">
        <v>0</v>
      </c>
      <c r="J120" s="3">
        <v>356328</v>
      </c>
      <c r="K120">
        <v>0.7</v>
      </c>
      <c r="L120">
        <v>60.2</v>
      </c>
      <c r="M120">
        <v>3232.4</v>
      </c>
    </row>
    <row r="121" spans="1:15" x14ac:dyDescent="0.25">
      <c r="A121" t="s">
        <v>34</v>
      </c>
      <c r="B121" s="1" t="s">
        <v>11</v>
      </c>
      <c r="C121" s="1">
        <v>2016</v>
      </c>
      <c r="D121" s="1">
        <v>1</v>
      </c>
      <c r="E121" s="1">
        <v>1</v>
      </c>
      <c r="F121" s="1">
        <v>1</v>
      </c>
      <c r="G121" s="1">
        <v>0</v>
      </c>
      <c r="J121" s="6">
        <v>368409</v>
      </c>
      <c r="K121" s="7">
        <v>0.7</v>
      </c>
      <c r="L121" s="7">
        <v>60.2</v>
      </c>
      <c r="M121">
        <v>3342</v>
      </c>
      <c r="O121" s="7"/>
    </row>
    <row r="122" spans="1:15" x14ac:dyDescent="0.25">
      <c r="A122" t="s">
        <v>34</v>
      </c>
      <c r="B122" s="1" t="s">
        <v>11</v>
      </c>
      <c r="C122" s="1">
        <v>2017</v>
      </c>
      <c r="D122" s="1">
        <v>1</v>
      </c>
      <c r="E122" s="1">
        <v>1</v>
      </c>
      <c r="F122" s="1">
        <v>1</v>
      </c>
      <c r="G122" s="1">
        <v>0</v>
      </c>
      <c r="H122" s="5">
        <v>0.94169999999999998</v>
      </c>
      <c r="I122" s="2">
        <f>1/1.0118</f>
        <v>0.98833761612966986</v>
      </c>
      <c r="J122" s="3">
        <v>368409</v>
      </c>
      <c r="K122">
        <v>0.7</v>
      </c>
      <c r="L122">
        <v>60.2</v>
      </c>
      <c r="M122">
        <v>3342</v>
      </c>
    </row>
    <row r="123" spans="1:15" x14ac:dyDescent="0.25">
      <c r="A123" s="8" t="s">
        <v>34</v>
      </c>
      <c r="B123" s="1" t="s">
        <v>11</v>
      </c>
      <c r="C123" s="1">
        <v>2018</v>
      </c>
      <c r="D123" s="1">
        <v>1</v>
      </c>
      <c r="E123" s="1">
        <v>1</v>
      </c>
      <c r="F123" s="1">
        <v>1</v>
      </c>
      <c r="G123" s="1">
        <v>0</v>
      </c>
      <c r="H123" s="2">
        <v>0.90529999999999999</v>
      </c>
      <c r="I123" s="2">
        <v>1.0238865450180239</v>
      </c>
      <c r="J123" s="3">
        <v>373931</v>
      </c>
      <c r="K123">
        <v>0.7</v>
      </c>
      <c r="L123">
        <v>60.2</v>
      </c>
      <c r="M123">
        <v>3392.1</v>
      </c>
    </row>
    <row r="124" spans="1:15" x14ac:dyDescent="0.25">
      <c r="A124" s="8" t="s">
        <v>35</v>
      </c>
      <c r="B124" s="1" t="s">
        <v>11</v>
      </c>
      <c r="C124" s="1">
        <v>2014</v>
      </c>
      <c r="D124" s="1">
        <v>3</v>
      </c>
      <c r="E124" s="1">
        <v>4</v>
      </c>
      <c r="F124" s="1">
        <v>3.5</v>
      </c>
      <c r="G124" s="1">
        <v>1</v>
      </c>
      <c r="H124" s="2">
        <v>0.89947089947089942</v>
      </c>
      <c r="I124" s="2">
        <v>1.4966357951397133</v>
      </c>
      <c r="J124" s="3">
        <v>2800</v>
      </c>
      <c r="K124">
        <v>7.8957032684539117</v>
      </c>
      <c r="L124">
        <v>6.0227690047741467</v>
      </c>
      <c r="M124">
        <v>0.1</v>
      </c>
    </row>
    <row r="125" spans="1:15" x14ac:dyDescent="0.25">
      <c r="A125" s="8" t="s">
        <v>35</v>
      </c>
      <c r="B125" s="1" t="s">
        <v>11</v>
      </c>
      <c r="C125" s="1">
        <v>2015</v>
      </c>
      <c r="D125" s="1">
        <v>3</v>
      </c>
      <c r="E125" s="1">
        <v>4</v>
      </c>
      <c r="F125" s="1">
        <v>3.5</v>
      </c>
      <c r="G125" s="1">
        <v>1</v>
      </c>
      <c r="H125" s="2">
        <v>1.0206</v>
      </c>
      <c r="I125" s="2">
        <v>1.35217106698669</v>
      </c>
      <c r="J125" s="3">
        <v>2766</v>
      </c>
      <c r="K125">
        <v>7.8957032684539117</v>
      </c>
      <c r="L125">
        <v>6.0227690047741467</v>
      </c>
      <c r="M125">
        <v>0.1</v>
      </c>
    </row>
    <row r="126" spans="1:15" x14ac:dyDescent="0.25">
      <c r="A126" t="s">
        <v>35</v>
      </c>
      <c r="B126" s="1" t="s">
        <v>11</v>
      </c>
      <c r="C126" s="1">
        <v>2016</v>
      </c>
      <c r="D126" s="1">
        <v>3</v>
      </c>
      <c r="E126" s="1">
        <v>4</v>
      </c>
      <c r="F126" s="1">
        <v>3.5</v>
      </c>
      <c r="G126" s="1">
        <v>1</v>
      </c>
      <c r="H126" s="2">
        <v>0.90769999999999995</v>
      </c>
      <c r="I126" s="2">
        <v>1.246396286342536</v>
      </c>
      <c r="J126" s="6">
        <v>2723</v>
      </c>
      <c r="K126" s="7">
        <v>7.8957032684539117</v>
      </c>
      <c r="L126" s="7">
        <v>6.0227690047741467</v>
      </c>
      <c r="M126">
        <v>0.1</v>
      </c>
      <c r="O126" s="7"/>
    </row>
    <row r="127" spans="1:15" x14ac:dyDescent="0.25">
      <c r="A127" t="s">
        <v>35</v>
      </c>
      <c r="B127" s="1" t="s">
        <v>11</v>
      </c>
      <c r="C127" s="1">
        <v>2017</v>
      </c>
      <c r="D127" s="1">
        <v>3</v>
      </c>
      <c r="E127" s="1">
        <v>4</v>
      </c>
      <c r="F127" s="1">
        <v>3.5</v>
      </c>
      <c r="G127" s="1">
        <v>1</v>
      </c>
      <c r="H127" s="2">
        <v>1.0487</v>
      </c>
      <c r="I127" s="2">
        <v>1.2985309264379032</v>
      </c>
      <c r="J127" s="3">
        <v>2798</v>
      </c>
      <c r="K127">
        <v>7.8957032684539117</v>
      </c>
      <c r="L127">
        <v>6.0227690047741467</v>
      </c>
      <c r="M127">
        <v>0.1</v>
      </c>
    </row>
    <row r="128" spans="1:15" x14ac:dyDescent="0.25">
      <c r="A128" s="8" t="s">
        <v>35</v>
      </c>
      <c r="B128" s="1" t="s">
        <v>11</v>
      </c>
      <c r="C128" s="1">
        <v>2018</v>
      </c>
      <c r="D128" s="1">
        <v>3</v>
      </c>
      <c r="E128" s="1">
        <v>4</v>
      </c>
      <c r="F128" s="1">
        <v>3.5</v>
      </c>
      <c r="G128" s="1">
        <v>1</v>
      </c>
      <c r="H128" s="2">
        <v>1.4391999999999998</v>
      </c>
      <c r="I128" s="2">
        <v>1.0749303621169917</v>
      </c>
      <c r="J128" s="3">
        <v>2802</v>
      </c>
      <c r="K128">
        <v>7.8957032684539117</v>
      </c>
      <c r="L128">
        <v>6.0227690047741467</v>
      </c>
      <c r="M128">
        <v>0.1</v>
      </c>
    </row>
    <row r="129" spans="1:15" x14ac:dyDescent="0.25">
      <c r="A129" s="8" t="s">
        <v>36</v>
      </c>
      <c r="B129" s="1" t="s">
        <v>11</v>
      </c>
      <c r="C129" s="1">
        <v>2014</v>
      </c>
      <c r="D129" s="1">
        <v>1</v>
      </c>
      <c r="E129" s="1">
        <v>2</v>
      </c>
      <c r="F129" s="1">
        <v>1.5</v>
      </c>
      <c r="G129" s="1">
        <v>1</v>
      </c>
      <c r="J129" s="3">
        <v>330377</v>
      </c>
      <c r="K129">
        <v>3.8</v>
      </c>
      <c r="L129">
        <v>5.9</v>
      </c>
      <c r="M129">
        <v>196.5</v>
      </c>
    </row>
    <row r="130" spans="1:15" x14ac:dyDescent="0.25">
      <c r="A130" s="8" t="s">
        <v>36</v>
      </c>
      <c r="B130" s="1" t="s">
        <v>11</v>
      </c>
      <c r="C130" s="1">
        <v>2015</v>
      </c>
      <c r="D130" s="1">
        <v>1</v>
      </c>
      <c r="E130" s="1">
        <v>2</v>
      </c>
      <c r="F130" s="1">
        <v>1.5</v>
      </c>
      <c r="G130" s="1">
        <v>1</v>
      </c>
      <c r="J130" s="3">
        <v>333264</v>
      </c>
      <c r="K130">
        <v>3.8</v>
      </c>
      <c r="L130">
        <v>5.9</v>
      </c>
      <c r="M130">
        <v>198.2</v>
      </c>
    </row>
    <row r="131" spans="1:15" x14ac:dyDescent="0.25">
      <c r="A131" t="s">
        <v>36</v>
      </c>
      <c r="B131" s="1" t="s">
        <v>11</v>
      </c>
      <c r="C131" s="1">
        <v>2016</v>
      </c>
      <c r="D131" s="1">
        <v>1</v>
      </c>
      <c r="E131" s="1">
        <v>2</v>
      </c>
      <c r="F131" s="1">
        <v>1.5</v>
      </c>
      <c r="G131" s="1">
        <v>1</v>
      </c>
      <c r="J131" s="6">
        <v>339394</v>
      </c>
      <c r="K131" s="11">
        <v>3.8</v>
      </c>
      <c r="L131" s="11">
        <v>5.9</v>
      </c>
      <c r="M131">
        <v>201.9</v>
      </c>
      <c r="O131" s="7"/>
    </row>
    <row r="132" spans="1:15" x14ac:dyDescent="0.25">
      <c r="A132" t="s">
        <v>36</v>
      </c>
      <c r="B132" s="1" t="s">
        <v>11</v>
      </c>
      <c r="C132" s="1">
        <v>2017</v>
      </c>
      <c r="D132" s="1">
        <v>1</v>
      </c>
      <c r="E132" s="1">
        <v>2</v>
      </c>
      <c r="F132" s="1">
        <v>1.5</v>
      </c>
      <c r="G132" s="1">
        <v>1</v>
      </c>
      <c r="H132" s="5">
        <v>1.2057</v>
      </c>
      <c r="I132" s="2">
        <f>1/0.8929</f>
        <v>1.1199462425803561</v>
      </c>
      <c r="J132" s="3">
        <v>339394</v>
      </c>
      <c r="K132">
        <v>3.8</v>
      </c>
      <c r="L132">
        <v>5.9</v>
      </c>
      <c r="M132">
        <v>201.9</v>
      </c>
    </row>
    <row r="133" spans="1:15" x14ac:dyDescent="0.25">
      <c r="A133" s="8" t="s">
        <v>36</v>
      </c>
      <c r="B133" s="1" t="s">
        <v>11</v>
      </c>
      <c r="C133" s="1">
        <v>2018</v>
      </c>
      <c r="D133" s="1">
        <v>1</v>
      </c>
      <c r="E133" s="1">
        <v>2</v>
      </c>
      <c r="F133" s="1">
        <v>1.5</v>
      </c>
      <c r="G133" s="1">
        <v>1</v>
      </c>
      <c r="H133" s="2">
        <v>0.91439999999999999</v>
      </c>
      <c r="I133" s="2">
        <v>1.0299471725209186</v>
      </c>
      <c r="J133" s="3">
        <v>342047</v>
      </c>
      <c r="K133">
        <v>3.8</v>
      </c>
      <c r="L133">
        <v>5.9</v>
      </c>
      <c r="M133">
        <v>203.5</v>
      </c>
    </row>
    <row r="134" spans="1:15" x14ac:dyDescent="0.25">
      <c r="A134" s="8" t="s">
        <v>37</v>
      </c>
      <c r="B134" s="1" t="s">
        <v>11</v>
      </c>
      <c r="C134" s="1">
        <v>2014</v>
      </c>
      <c r="D134" s="1">
        <v>5</v>
      </c>
      <c r="E134" s="1">
        <v>5</v>
      </c>
      <c r="F134" s="1">
        <v>5</v>
      </c>
      <c r="G134" s="1">
        <v>0</v>
      </c>
      <c r="H134" s="2">
        <v>0.79949558638083229</v>
      </c>
      <c r="I134" s="2">
        <v>0.87270851037999275</v>
      </c>
      <c r="J134" s="3">
        <v>1934</v>
      </c>
      <c r="K134">
        <v>39.650464227198249</v>
      </c>
      <c r="L134">
        <v>2.3484434735117423</v>
      </c>
      <c r="M134">
        <v>0</v>
      </c>
    </row>
    <row r="135" spans="1:15" x14ac:dyDescent="0.25">
      <c r="A135" s="8" t="s">
        <v>37</v>
      </c>
      <c r="B135" s="1" t="s">
        <v>11</v>
      </c>
      <c r="C135" s="1">
        <v>2015</v>
      </c>
      <c r="D135" s="1">
        <v>5</v>
      </c>
      <c r="E135" s="1">
        <v>5</v>
      </c>
      <c r="F135" s="1">
        <v>5</v>
      </c>
      <c r="G135" s="1">
        <v>0</v>
      </c>
      <c r="H135" s="2">
        <v>0.78</v>
      </c>
      <c r="I135" s="2">
        <v>1.0796429318641467</v>
      </c>
      <c r="J135" s="3">
        <v>1923</v>
      </c>
      <c r="K135">
        <v>39.650464227198249</v>
      </c>
      <c r="L135">
        <v>2.3484434735117423</v>
      </c>
      <c r="M135">
        <v>0</v>
      </c>
    </row>
    <row r="136" spans="1:15" x14ac:dyDescent="0.25">
      <c r="A136" t="s">
        <v>37</v>
      </c>
      <c r="B136" s="1" t="s">
        <v>11</v>
      </c>
      <c r="C136" s="1">
        <v>2016</v>
      </c>
      <c r="D136" s="1">
        <v>5</v>
      </c>
      <c r="E136" s="1">
        <v>5</v>
      </c>
      <c r="F136" s="1">
        <v>5</v>
      </c>
      <c r="G136" s="1">
        <v>0</v>
      </c>
      <c r="H136" s="2">
        <v>0.75280000000000002</v>
      </c>
      <c r="I136" s="2">
        <v>1.0788899282818833</v>
      </c>
      <c r="J136" s="6">
        <v>1831</v>
      </c>
      <c r="K136" s="7">
        <v>39.650464227198249</v>
      </c>
      <c r="L136" s="7">
        <v>2.3484434735117423</v>
      </c>
      <c r="M136">
        <v>0</v>
      </c>
      <c r="O136" s="7"/>
    </row>
    <row r="137" spans="1:15" x14ac:dyDescent="0.25">
      <c r="A137" t="s">
        <v>37</v>
      </c>
      <c r="B137" s="1" t="s">
        <v>11</v>
      </c>
      <c r="C137" s="1">
        <v>2017</v>
      </c>
      <c r="D137" s="1">
        <v>5</v>
      </c>
      <c r="E137" s="1">
        <v>5</v>
      </c>
      <c r="F137" s="1">
        <v>5</v>
      </c>
      <c r="G137" s="1">
        <v>0</v>
      </c>
      <c r="H137" s="2">
        <v>0.79409999999999992</v>
      </c>
      <c r="I137" s="2">
        <v>1.299215022317993</v>
      </c>
      <c r="J137" s="3">
        <v>1847</v>
      </c>
      <c r="K137">
        <v>39.650464227198249</v>
      </c>
      <c r="L137">
        <v>2.3484434735117423</v>
      </c>
      <c r="M137">
        <v>3.4516267683280075E-2</v>
      </c>
    </row>
    <row r="138" spans="1:15" x14ac:dyDescent="0.25">
      <c r="A138" s="8" t="s">
        <v>37</v>
      </c>
      <c r="B138" s="1" t="s">
        <v>11</v>
      </c>
      <c r="C138" s="1">
        <v>2018</v>
      </c>
      <c r="D138" s="1">
        <v>5</v>
      </c>
      <c r="E138" s="1">
        <v>5</v>
      </c>
      <c r="F138" s="1">
        <v>5</v>
      </c>
      <c r="G138" s="1">
        <v>0</v>
      </c>
      <c r="H138" s="2">
        <v>0.82330000000000003</v>
      </c>
      <c r="I138" s="2">
        <v>1.000314183123878</v>
      </c>
      <c r="J138" s="3">
        <v>1837</v>
      </c>
      <c r="K138">
        <v>39.650464227198249</v>
      </c>
      <c r="L138">
        <v>2.3484434735117423</v>
      </c>
      <c r="M138">
        <v>0</v>
      </c>
    </row>
    <row r="139" spans="1:15" x14ac:dyDescent="0.25">
      <c r="A139" s="8" t="s">
        <v>38</v>
      </c>
      <c r="B139" s="1" t="s">
        <v>11</v>
      </c>
      <c r="C139" s="1">
        <v>2014</v>
      </c>
      <c r="D139" s="1">
        <v>1</v>
      </c>
      <c r="E139" s="1">
        <v>2</v>
      </c>
      <c r="F139" s="1">
        <v>1.5</v>
      </c>
      <c r="G139" s="1">
        <v>1</v>
      </c>
      <c r="H139" s="2">
        <v>1.005793503000207</v>
      </c>
      <c r="I139" s="2">
        <v>1.0552791358398592</v>
      </c>
      <c r="J139" s="3">
        <v>55103</v>
      </c>
      <c r="K139">
        <v>7.2154928816975943</v>
      </c>
      <c r="L139">
        <v>1.8934144453843522</v>
      </c>
      <c r="M139">
        <v>28</v>
      </c>
    </row>
    <row r="140" spans="1:15" x14ac:dyDescent="0.25">
      <c r="A140" s="8" t="s">
        <v>38</v>
      </c>
      <c r="B140" s="1" t="s">
        <v>11</v>
      </c>
      <c r="C140" s="1">
        <v>2015</v>
      </c>
      <c r="D140" s="1">
        <v>1</v>
      </c>
      <c r="E140" s="1">
        <v>2</v>
      </c>
      <c r="F140" s="1">
        <v>1.5</v>
      </c>
      <c r="G140" s="1">
        <v>1</v>
      </c>
      <c r="H140" s="2">
        <v>0.71040000000000003</v>
      </c>
      <c r="I140" s="2">
        <v>1.1036331314926948</v>
      </c>
      <c r="J140" s="3">
        <v>55888</v>
      </c>
      <c r="K140">
        <v>7.2154928816975943</v>
      </c>
      <c r="L140">
        <v>1.8934144453843522</v>
      </c>
      <c r="M140">
        <v>28.4</v>
      </c>
    </row>
    <row r="141" spans="1:15" x14ac:dyDescent="0.25">
      <c r="A141" t="s">
        <v>38</v>
      </c>
      <c r="B141" s="1" t="s">
        <v>11</v>
      </c>
      <c r="C141" s="1">
        <v>2016</v>
      </c>
      <c r="D141" s="1">
        <v>1</v>
      </c>
      <c r="E141" s="1">
        <v>2</v>
      </c>
      <c r="F141" s="1">
        <v>1.5</v>
      </c>
      <c r="G141" s="1">
        <v>1</v>
      </c>
      <c r="H141" s="2">
        <v>1.4143000000000001</v>
      </c>
      <c r="I141" s="2">
        <v>1.1556701030927834</v>
      </c>
      <c r="J141" s="6">
        <v>55561</v>
      </c>
      <c r="K141" s="7">
        <v>7.2154928816975943</v>
      </c>
      <c r="L141" s="7">
        <v>1.8934144453843522</v>
      </c>
      <c r="M141">
        <v>28.9</v>
      </c>
      <c r="O141" s="7"/>
    </row>
    <row r="142" spans="1:15" x14ac:dyDescent="0.25">
      <c r="A142" t="s">
        <v>38</v>
      </c>
      <c r="B142" s="1" t="s">
        <v>11</v>
      </c>
      <c r="C142" s="1">
        <v>2017</v>
      </c>
      <c r="D142" s="1">
        <v>1</v>
      </c>
      <c r="E142" s="1">
        <v>2</v>
      </c>
      <c r="F142" s="1">
        <v>1.5</v>
      </c>
      <c r="G142" s="1">
        <v>1</v>
      </c>
      <c r="H142" s="2">
        <v>1.0219</v>
      </c>
      <c r="I142" s="2">
        <v>1.253111923998</v>
      </c>
      <c r="J142" s="3">
        <v>57561</v>
      </c>
      <c r="K142">
        <v>7.2154928816975943</v>
      </c>
      <c r="L142">
        <v>1.8934144453843522</v>
      </c>
      <c r="M142">
        <v>29.3</v>
      </c>
    </row>
    <row r="143" spans="1:15" x14ac:dyDescent="0.25">
      <c r="A143" s="8" t="s">
        <v>38</v>
      </c>
      <c r="B143" s="1" t="s">
        <v>11</v>
      </c>
      <c r="C143" s="1">
        <v>2018</v>
      </c>
      <c r="D143" s="1">
        <v>1</v>
      </c>
      <c r="E143" s="1">
        <v>2</v>
      </c>
      <c r="F143" s="1">
        <v>1.5</v>
      </c>
      <c r="G143" s="1">
        <v>1</v>
      </c>
      <c r="H143" s="2">
        <v>1.0789</v>
      </c>
      <c r="I143" s="2">
        <v>0.96954096411449964</v>
      </c>
      <c r="J143" s="3">
        <v>59101</v>
      </c>
      <c r="K143">
        <v>7.2154928816975943</v>
      </c>
      <c r="L143">
        <v>1.8934144453843522</v>
      </c>
      <c r="M143">
        <v>30.1</v>
      </c>
    </row>
    <row r="144" spans="1:15" x14ac:dyDescent="0.25">
      <c r="A144" s="8" t="s">
        <v>39</v>
      </c>
      <c r="B144" s="1" t="s">
        <v>11</v>
      </c>
      <c r="C144" s="1">
        <v>2014</v>
      </c>
      <c r="D144" s="1">
        <v>2</v>
      </c>
      <c r="E144" s="1">
        <v>3</v>
      </c>
      <c r="F144" s="1">
        <v>2.5</v>
      </c>
      <c r="G144" s="1">
        <v>1</v>
      </c>
      <c r="H144" s="2">
        <v>1.1095685235324615</v>
      </c>
      <c r="I144" s="2">
        <v>0.97716710119346428</v>
      </c>
      <c r="J144" s="3">
        <v>51498</v>
      </c>
      <c r="K144">
        <v>6.348924412867575</v>
      </c>
      <c r="L144">
        <v>2.1570949279652654</v>
      </c>
      <c r="M144">
        <v>4.9000000000000004</v>
      </c>
    </row>
    <row r="145" spans="1:15" x14ac:dyDescent="0.25">
      <c r="A145" s="8" t="s">
        <v>39</v>
      </c>
      <c r="B145" s="1" t="s">
        <v>11</v>
      </c>
      <c r="C145" s="1">
        <v>2015</v>
      </c>
      <c r="D145" s="1">
        <v>2</v>
      </c>
      <c r="E145" s="1">
        <v>3</v>
      </c>
      <c r="F145" s="1">
        <v>2.5</v>
      </c>
      <c r="G145" s="1">
        <v>1</v>
      </c>
      <c r="H145" s="2">
        <v>0.75770000000000015</v>
      </c>
      <c r="I145" s="2">
        <v>0.9293964620187305</v>
      </c>
      <c r="J145" s="3">
        <v>51547</v>
      </c>
      <c r="K145">
        <v>6.348924412867575</v>
      </c>
      <c r="L145">
        <v>2.1570949279652654</v>
      </c>
      <c r="M145">
        <v>4.9000000000000004</v>
      </c>
    </row>
    <row r="146" spans="1:15" x14ac:dyDescent="0.25">
      <c r="A146" t="s">
        <v>39</v>
      </c>
      <c r="B146" s="1" t="s">
        <v>11</v>
      </c>
      <c r="C146" s="1">
        <v>2016</v>
      </c>
      <c r="D146" s="1">
        <v>2</v>
      </c>
      <c r="E146" s="1">
        <v>3</v>
      </c>
      <c r="F146" s="1">
        <v>2.5</v>
      </c>
      <c r="G146" s="1">
        <v>1</v>
      </c>
      <c r="H146" s="2">
        <v>0.64890000000000003</v>
      </c>
      <c r="I146" s="2">
        <v>0.95978894957827077</v>
      </c>
      <c r="J146" s="6">
        <v>50670</v>
      </c>
      <c r="K146" s="7">
        <v>6.348924412867575</v>
      </c>
      <c r="L146" s="7">
        <v>2.1570949279652654</v>
      </c>
      <c r="M146">
        <v>5</v>
      </c>
      <c r="O146" s="7"/>
    </row>
    <row r="147" spans="1:15" x14ac:dyDescent="0.25">
      <c r="A147" t="s">
        <v>39</v>
      </c>
      <c r="B147" s="1" t="s">
        <v>11</v>
      </c>
      <c r="C147" s="1">
        <v>2017</v>
      </c>
      <c r="D147" s="1">
        <v>2</v>
      </c>
      <c r="E147" s="1">
        <v>3</v>
      </c>
      <c r="F147" s="1">
        <v>2.5</v>
      </c>
      <c r="G147" s="1">
        <v>1</v>
      </c>
      <c r="H147" s="2">
        <v>0.68980000000000008</v>
      </c>
      <c r="I147" s="2">
        <v>0.9200907314540262</v>
      </c>
      <c r="J147" s="3">
        <v>51596</v>
      </c>
      <c r="K147">
        <v>6.348924412867575</v>
      </c>
      <c r="L147">
        <v>2.1570949279652654</v>
      </c>
      <c r="M147">
        <v>4.9000000000000004</v>
      </c>
    </row>
    <row r="148" spans="1:15" x14ac:dyDescent="0.25">
      <c r="A148" s="8" t="s">
        <v>39</v>
      </c>
      <c r="B148" s="1" t="s">
        <v>11</v>
      </c>
      <c r="C148" s="1">
        <v>2018</v>
      </c>
      <c r="D148" s="1">
        <v>2</v>
      </c>
      <c r="E148" s="1">
        <v>3</v>
      </c>
      <c r="F148" s="1">
        <v>2.5</v>
      </c>
      <c r="G148" s="1">
        <v>1</v>
      </c>
      <c r="H148" s="2">
        <v>0.7448999999999999</v>
      </c>
      <c r="I148" s="2">
        <v>0.94357933775639713</v>
      </c>
      <c r="J148" s="3">
        <v>51647</v>
      </c>
      <c r="K148">
        <v>6.348924412867575</v>
      </c>
      <c r="L148">
        <v>2.1570949279652654</v>
      </c>
      <c r="M148">
        <v>5</v>
      </c>
    </row>
    <row r="149" spans="1:15" x14ac:dyDescent="0.25">
      <c r="A149" s="8" t="s">
        <v>40</v>
      </c>
      <c r="B149" s="1" t="s">
        <v>11</v>
      </c>
      <c r="C149" s="1">
        <v>2014</v>
      </c>
      <c r="D149" s="1">
        <v>4</v>
      </c>
      <c r="E149" s="1">
        <v>5</v>
      </c>
      <c r="F149" s="1">
        <v>4.5</v>
      </c>
      <c r="G149" s="1">
        <v>1</v>
      </c>
      <c r="H149" s="2">
        <v>1.8732089552238806</v>
      </c>
      <c r="I149" s="2">
        <v>0.93912630203176362</v>
      </c>
      <c r="J149" s="3">
        <v>4821</v>
      </c>
      <c r="K149">
        <v>13.741935483870968</v>
      </c>
      <c r="L149">
        <v>3.9354838709677415</v>
      </c>
      <c r="M149">
        <v>0.1</v>
      </c>
    </row>
    <row r="150" spans="1:15" x14ac:dyDescent="0.25">
      <c r="A150" s="8" t="s">
        <v>40</v>
      </c>
      <c r="B150" s="1" t="s">
        <v>11</v>
      </c>
      <c r="C150" s="1">
        <v>2015</v>
      </c>
      <c r="D150" s="1">
        <v>4</v>
      </c>
      <c r="E150" s="1">
        <v>5</v>
      </c>
      <c r="F150" s="1">
        <v>4.5</v>
      </c>
      <c r="G150" s="1">
        <v>1</v>
      </c>
      <c r="H150" s="2">
        <v>0.42219999999999996</v>
      </c>
      <c r="I150" s="2">
        <v>1.2180081415501189</v>
      </c>
      <c r="J150" s="3">
        <v>4794</v>
      </c>
      <c r="K150">
        <v>13.741935483870968</v>
      </c>
      <c r="L150">
        <v>3.9354838709677415</v>
      </c>
      <c r="M150">
        <v>0.1</v>
      </c>
    </row>
    <row r="151" spans="1:15" x14ac:dyDescent="0.25">
      <c r="A151" t="s">
        <v>40</v>
      </c>
      <c r="B151" s="1" t="s">
        <v>11</v>
      </c>
      <c r="C151" s="1">
        <v>2016</v>
      </c>
      <c r="D151" s="1">
        <v>4</v>
      </c>
      <c r="E151" s="1">
        <v>5</v>
      </c>
      <c r="F151" s="1">
        <v>4.5</v>
      </c>
      <c r="G151" s="1">
        <v>1</v>
      </c>
      <c r="H151" s="2">
        <v>0.53079999999999994</v>
      </c>
      <c r="I151" s="2">
        <v>1.0614815878257124</v>
      </c>
      <c r="J151" s="6">
        <v>4650</v>
      </c>
      <c r="K151" s="7">
        <v>13.741935483870968</v>
      </c>
      <c r="L151" s="7">
        <v>3.9354838709677415</v>
      </c>
      <c r="M151">
        <v>0.1</v>
      </c>
      <c r="O151" s="7"/>
    </row>
    <row r="152" spans="1:15" x14ac:dyDescent="0.25">
      <c r="A152" t="s">
        <v>40</v>
      </c>
      <c r="B152" s="1" t="s">
        <v>11</v>
      </c>
      <c r="C152" s="1">
        <v>2017</v>
      </c>
      <c r="D152" s="1">
        <v>4</v>
      </c>
      <c r="E152" s="1">
        <v>5</v>
      </c>
      <c r="F152" s="1">
        <v>4.5</v>
      </c>
      <c r="G152" s="1">
        <v>1</v>
      </c>
      <c r="H152" s="2">
        <v>0.92049999999999998</v>
      </c>
      <c r="I152" s="2">
        <v>1.1231436214371369</v>
      </c>
      <c r="J152" s="3">
        <v>4734</v>
      </c>
      <c r="K152">
        <v>13.741935483870968</v>
      </c>
      <c r="L152">
        <v>3.9354838709677415</v>
      </c>
      <c r="M152">
        <v>0.1</v>
      </c>
    </row>
    <row r="153" spans="1:15" x14ac:dyDescent="0.25">
      <c r="A153" s="8" t="s">
        <v>40</v>
      </c>
      <c r="B153" s="1" t="s">
        <v>11</v>
      </c>
      <c r="C153" s="1">
        <v>2018</v>
      </c>
      <c r="D153" s="1">
        <v>4</v>
      </c>
      <c r="E153" s="1">
        <v>5</v>
      </c>
      <c r="F153" s="1">
        <v>4.5</v>
      </c>
      <c r="G153" s="1">
        <v>1</v>
      </c>
      <c r="H153" s="2">
        <v>1.0808</v>
      </c>
      <c r="I153" s="2">
        <v>1.027339456198423</v>
      </c>
      <c r="J153" s="3">
        <v>4722</v>
      </c>
      <c r="K153">
        <v>13.741935483870968</v>
      </c>
      <c r="L153">
        <v>3.9354838709677415</v>
      </c>
      <c r="M153">
        <v>0.1</v>
      </c>
    </row>
    <row r="154" spans="1:15" x14ac:dyDescent="0.25">
      <c r="A154" s="8" t="s">
        <v>41</v>
      </c>
      <c r="B154" s="1" t="s">
        <v>11</v>
      </c>
      <c r="C154" s="1">
        <v>2014</v>
      </c>
      <c r="D154" s="1">
        <v>2</v>
      </c>
      <c r="E154" s="1">
        <v>3</v>
      </c>
      <c r="F154" s="1">
        <v>2.5</v>
      </c>
      <c r="G154" s="1">
        <v>1</v>
      </c>
      <c r="H154" s="2">
        <v>1.1056527008310248</v>
      </c>
      <c r="I154" s="2">
        <v>0.92357504047203831</v>
      </c>
      <c r="J154" s="3">
        <v>73016</v>
      </c>
      <c r="K154">
        <v>4.9938998478389012</v>
      </c>
      <c r="L154">
        <v>7.4997601063756871</v>
      </c>
      <c r="M154">
        <v>62.2</v>
      </c>
    </row>
    <row r="155" spans="1:15" x14ac:dyDescent="0.25">
      <c r="A155" s="8" t="s">
        <v>41</v>
      </c>
      <c r="B155" s="1" t="s">
        <v>11</v>
      </c>
      <c r="C155" s="1">
        <v>2015</v>
      </c>
      <c r="D155" s="1">
        <v>2</v>
      </c>
      <c r="E155" s="1">
        <v>3</v>
      </c>
      <c r="F155" s="1">
        <v>2.5</v>
      </c>
      <c r="G155" s="1">
        <v>1</v>
      </c>
      <c r="H155" s="2">
        <v>0.93689999999999996</v>
      </c>
      <c r="I155" s="2">
        <v>1.0734221530681707</v>
      </c>
      <c r="J155" s="3">
        <v>73739</v>
      </c>
      <c r="K155">
        <v>4.9938998478389012</v>
      </c>
      <c r="L155">
        <v>7.4997601063756871</v>
      </c>
      <c r="M155">
        <v>62.8</v>
      </c>
    </row>
    <row r="156" spans="1:15" x14ac:dyDescent="0.25">
      <c r="A156" t="s">
        <v>41</v>
      </c>
      <c r="B156" s="1" t="s">
        <v>11</v>
      </c>
      <c r="C156" s="1">
        <v>2016</v>
      </c>
      <c r="D156" s="1">
        <v>2</v>
      </c>
      <c r="E156" s="1">
        <v>3</v>
      </c>
      <c r="F156" s="1">
        <v>2.5</v>
      </c>
      <c r="G156" s="1">
        <v>1</v>
      </c>
      <c r="H156" s="2">
        <v>1.0159</v>
      </c>
      <c r="I156" s="2">
        <v>1.4550202991910941</v>
      </c>
      <c r="J156" s="6">
        <v>72949</v>
      </c>
      <c r="K156" s="7">
        <v>4.9938998478389012</v>
      </c>
      <c r="L156" s="7">
        <v>7.4997601063756871</v>
      </c>
      <c r="M156">
        <v>63.6</v>
      </c>
      <c r="O156" s="7"/>
    </row>
    <row r="157" spans="1:15" x14ac:dyDescent="0.25">
      <c r="A157" t="s">
        <v>41</v>
      </c>
      <c r="B157" s="1" t="s">
        <v>11</v>
      </c>
      <c r="C157" s="1">
        <v>2017</v>
      </c>
      <c r="D157" s="1">
        <v>2</v>
      </c>
      <c r="E157" s="1">
        <v>3</v>
      </c>
      <c r="F157" s="1">
        <v>2.5</v>
      </c>
      <c r="G157" s="1">
        <v>1</v>
      </c>
      <c r="H157" s="2">
        <v>1.0049999999999999</v>
      </c>
      <c r="I157" s="2">
        <v>1.3255947626999685</v>
      </c>
      <c r="J157" s="3">
        <v>75552</v>
      </c>
      <c r="K157">
        <v>4.9938998478389012</v>
      </c>
      <c r="L157">
        <v>7.4997601063756871</v>
      </c>
      <c r="M157">
        <v>64.400000000000006</v>
      </c>
    </row>
    <row r="158" spans="1:15" x14ac:dyDescent="0.25">
      <c r="A158" s="8" t="s">
        <v>41</v>
      </c>
      <c r="B158" s="1" t="s">
        <v>11</v>
      </c>
      <c r="C158" s="1">
        <v>2018</v>
      </c>
      <c r="D158" s="1">
        <v>2</v>
      </c>
      <c r="E158" s="1">
        <v>3</v>
      </c>
      <c r="F158" s="1">
        <v>2.5</v>
      </c>
      <c r="G158" s="1">
        <v>1</v>
      </c>
      <c r="H158" s="2">
        <v>1.0029000000000001</v>
      </c>
      <c r="I158" s="2">
        <v>1.0338476099182778</v>
      </c>
      <c r="J158" s="3">
        <v>76551</v>
      </c>
      <c r="K158">
        <v>4.9938998478389012</v>
      </c>
      <c r="L158">
        <v>7.4997601063756871</v>
      </c>
      <c r="M158">
        <v>65.2</v>
      </c>
    </row>
    <row r="159" spans="1:15" x14ac:dyDescent="0.25">
      <c r="A159" s="8" t="s">
        <v>42</v>
      </c>
      <c r="B159" s="1" t="s">
        <v>11</v>
      </c>
      <c r="C159" s="1">
        <v>2014</v>
      </c>
      <c r="D159" s="1">
        <v>2</v>
      </c>
      <c r="E159" s="1">
        <v>3</v>
      </c>
      <c r="F159" s="1">
        <v>2.5</v>
      </c>
      <c r="G159" s="1">
        <v>1</v>
      </c>
      <c r="H159" s="2">
        <v>1.0189334174818554</v>
      </c>
      <c r="I159" s="2">
        <v>1.0048167899535523</v>
      </c>
      <c r="J159" s="3">
        <v>4357</v>
      </c>
      <c r="K159">
        <v>3.1300718757245534</v>
      </c>
      <c r="L159">
        <v>1.1824715974959426</v>
      </c>
      <c r="M159">
        <v>1.8</v>
      </c>
    </row>
    <row r="160" spans="1:15" x14ac:dyDescent="0.25">
      <c r="A160" s="8" t="s">
        <v>42</v>
      </c>
      <c r="B160" s="1" t="s">
        <v>11</v>
      </c>
      <c r="C160" s="1">
        <v>2015</v>
      </c>
      <c r="D160" s="1">
        <v>2</v>
      </c>
      <c r="E160" s="1">
        <v>3</v>
      </c>
      <c r="F160" s="1">
        <v>2.5</v>
      </c>
      <c r="G160" s="1">
        <v>1</v>
      </c>
      <c r="H160" s="2">
        <v>0.87929999999999997</v>
      </c>
      <c r="I160" s="2">
        <v>1.18303052000358</v>
      </c>
      <c r="J160" s="3">
        <v>4366</v>
      </c>
      <c r="K160">
        <v>3.1300718757245534</v>
      </c>
      <c r="L160">
        <v>1.1824715974959426</v>
      </c>
      <c r="M160">
        <v>1.8</v>
      </c>
    </row>
    <row r="161" spans="1:15" x14ac:dyDescent="0.25">
      <c r="A161" t="s">
        <v>42</v>
      </c>
      <c r="B161" s="1" t="s">
        <v>11</v>
      </c>
      <c r="C161" s="1">
        <v>2016</v>
      </c>
      <c r="D161" s="1">
        <v>2</v>
      </c>
      <c r="E161" s="1">
        <v>3</v>
      </c>
      <c r="F161" s="1">
        <v>2.5</v>
      </c>
      <c r="G161" s="1">
        <v>1</v>
      </c>
      <c r="H161" s="2">
        <v>1.0051999999999999</v>
      </c>
      <c r="I161" s="2">
        <v>1.2842874977706438</v>
      </c>
      <c r="J161" s="6">
        <v>4313</v>
      </c>
      <c r="K161" s="7">
        <v>3.1300718757245534</v>
      </c>
      <c r="L161" s="7">
        <v>1.1824715974959426</v>
      </c>
      <c r="M161">
        <v>1.8</v>
      </c>
      <c r="O161" s="7"/>
    </row>
    <row r="162" spans="1:15" x14ac:dyDescent="0.25">
      <c r="A162" t="s">
        <v>42</v>
      </c>
      <c r="B162" s="1" t="s">
        <v>11</v>
      </c>
      <c r="C162" s="1">
        <v>2017</v>
      </c>
      <c r="D162" s="1">
        <v>2</v>
      </c>
      <c r="E162" s="1">
        <v>3</v>
      </c>
      <c r="F162" s="1">
        <v>2.5</v>
      </c>
      <c r="G162" s="1">
        <v>1</v>
      </c>
      <c r="H162" s="2">
        <v>1.3924000000000001</v>
      </c>
      <c r="I162" s="2">
        <v>1.3153043345775881</v>
      </c>
      <c r="J162" s="3">
        <v>4392</v>
      </c>
      <c r="K162">
        <v>3.1300718757245534</v>
      </c>
      <c r="L162">
        <v>1.1824715974959426</v>
      </c>
      <c r="M162">
        <v>1.8</v>
      </c>
    </row>
    <row r="163" spans="1:15" x14ac:dyDescent="0.25">
      <c r="A163" s="8" t="s">
        <v>42</v>
      </c>
      <c r="B163" s="1" t="s">
        <v>11</v>
      </c>
      <c r="C163" s="1">
        <v>2018</v>
      </c>
      <c r="D163" s="1">
        <v>2</v>
      </c>
      <c r="E163" s="1">
        <v>3</v>
      </c>
      <c r="F163" s="1">
        <v>2.5</v>
      </c>
      <c r="G163" s="1">
        <v>1</v>
      </c>
      <c r="H163" s="2">
        <v>1.0972</v>
      </c>
      <c r="I163" s="2">
        <v>1.1048093362075373</v>
      </c>
      <c r="J163" s="3">
        <v>4368</v>
      </c>
      <c r="K163">
        <v>3.1300718757245534</v>
      </c>
      <c r="L163">
        <v>1.1824715974959426</v>
      </c>
      <c r="M163">
        <v>1.8</v>
      </c>
    </row>
    <row r="164" spans="1:15" x14ac:dyDescent="0.25">
      <c r="A164" s="8" t="s">
        <v>43</v>
      </c>
      <c r="B164" s="1" t="s">
        <v>11</v>
      </c>
      <c r="C164" s="1">
        <v>2014</v>
      </c>
      <c r="D164" s="1">
        <v>3</v>
      </c>
      <c r="E164" s="1">
        <v>4</v>
      </c>
      <c r="F164" s="1">
        <v>3.5</v>
      </c>
      <c r="G164" s="1">
        <v>1</v>
      </c>
      <c r="H164" s="2">
        <v>0.73016544011682649</v>
      </c>
      <c r="I164" s="2">
        <v>0.91311940624317833</v>
      </c>
      <c r="J164" s="3">
        <v>4134</v>
      </c>
      <c r="K164">
        <v>30.135238581270734</v>
      </c>
      <c r="L164">
        <v>1.4799693799438634</v>
      </c>
      <c r="M164">
        <v>0.4</v>
      </c>
    </row>
    <row r="165" spans="1:15" x14ac:dyDescent="0.25">
      <c r="A165" s="8" t="s">
        <v>43</v>
      </c>
      <c r="B165" s="1" t="s">
        <v>11</v>
      </c>
      <c r="C165" s="1">
        <v>2015</v>
      </c>
      <c r="D165" s="1">
        <v>3</v>
      </c>
      <c r="E165" s="1">
        <v>4</v>
      </c>
      <c r="F165" s="1">
        <v>3.5</v>
      </c>
      <c r="G165" s="1">
        <v>1</v>
      </c>
      <c r="H165" s="2">
        <v>2.0124</v>
      </c>
      <c r="I165" s="2">
        <v>1.2120527961097602</v>
      </c>
      <c r="J165" s="3">
        <v>4091</v>
      </c>
      <c r="K165">
        <v>30.135238581270734</v>
      </c>
      <c r="L165">
        <v>1.4799693799438634</v>
      </c>
      <c r="M165">
        <v>0.4</v>
      </c>
    </row>
    <row r="166" spans="1:15" x14ac:dyDescent="0.25">
      <c r="A166" t="s">
        <v>43</v>
      </c>
      <c r="B166" s="1" t="s">
        <v>11</v>
      </c>
      <c r="C166" s="1">
        <v>2016</v>
      </c>
      <c r="D166" s="1">
        <v>3</v>
      </c>
      <c r="E166" s="1">
        <v>4</v>
      </c>
      <c r="F166" s="1">
        <v>3.5</v>
      </c>
      <c r="G166" s="1">
        <v>1</v>
      </c>
      <c r="H166" s="2">
        <v>1.8212999999999999</v>
      </c>
      <c r="I166" s="2">
        <v>1.2299966891071625</v>
      </c>
      <c r="J166" s="6">
        <v>3919</v>
      </c>
      <c r="K166" s="7">
        <v>30.135238581270734</v>
      </c>
      <c r="L166" s="7">
        <v>1.4799693799438634</v>
      </c>
      <c r="M166">
        <v>0.4</v>
      </c>
      <c r="O166" s="7"/>
    </row>
    <row r="167" spans="1:15" x14ac:dyDescent="0.25">
      <c r="A167" t="s">
        <v>43</v>
      </c>
      <c r="B167" s="1" t="s">
        <v>11</v>
      </c>
      <c r="C167" s="1">
        <v>2017</v>
      </c>
      <c r="D167" s="1">
        <v>3</v>
      </c>
      <c r="E167" s="1">
        <v>4</v>
      </c>
      <c r="F167" s="1">
        <v>3.5</v>
      </c>
      <c r="G167" s="1">
        <v>1</v>
      </c>
      <c r="H167" s="2">
        <v>2.6264999999999996</v>
      </c>
      <c r="I167" s="2">
        <v>1.3209179635979953</v>
      </c>
      <c r="J167" s="3">
        <v>4036</v>
      </c>
      <c r="K167">
        <v>30.135238581270734</v>
      </c>
      <c r="L167">
        <v>1.4799693799438634</v>
      </c>
      <c r="M167">
        <v>0.4</v>
      </c>
    </row>
    <row r="168" spans="1:15" x14ac:dyDescent="0.25">
      <c r="A168" s="8" t="s">
        <v>43</v>
      </c>
      <c r="B168" s="1" t="s">
        <v>11</v>
      </c>
      <c r="C168" s="1">
        <v>2018</v>
      </c>
      <c r="D168" s="1">
        <v>3</v>
      </c>
      <c r="E168" s="1">
        <v>4</v>
      </c>
      <c r="F168" s="1">
        <v>3.5</v>
      </c>
      <c r="G168" s="1">
        <v>1</v>
      </c>
      <c r="H168" s="2">
        <v>1.724</v>
      </c>
      <c r="I168" s="2">
        <v>1.0869043918468848</v>
      </c>
      <c r="J168" s="3">
        <v>4014</v>
      </c>
      <c r="K168">
        <v>30.135238581270734</v>
      </c>
      <c r="L168">
        <v>1.4799693799438634</v>
      </c>
      <c r="M168">
        <v>0.4</v>
      </c>
    </row>
    <row r="169" spans="1:15" x14ac:dyDescent="0.25">
      <c r="A169" s="8" t="s">
        <v>44</v>
      </c>
      <c r="B169" s="1" t="s">
        <v>11</v>
      </c>
      <c r="C169" s="1">
        <v>2014</v>
      </c>
      <c r="D169" s="1">
        <v>2</v>
      </c>
      <c r="E169" s="1">
        <v>3</v>
      </c>
      <c r="F169" s="1">
        <v>2.5</v>
      </c>
      <c r="G169" s="1">
        <v>1</v>
      </c>
      <c r="J169" s="3">
        <v>11305</v>
      </c>
      <c r="K169">
        <v>4.5999999999999996</v>
      </c>
      <c r="L169">
        <v>2</v>
      </c>
      <c r="M169">
        <v>2.8</v>
      </c>
    </row>
    <row r="170" spans="1:15" x14ac:dyDescent="0.25">
      <c r="A170" s="8" t="s">
        <v>44</v>
      </c>
      <c r="B170" s="1" t="s">
        <v>11</v>
      </c>
      <c r="C170" s="1">
        <v>2015</v>
      </c>
      <c r="D170" s="1">
        <v>2</v>
      </c>
      <c r="E170" s="1">
        <v>3</v>
      </c>
      <c r="F170" s="1">
        <v>2.5</v>
      </c>
      <c r="G170" s="1">
        <v>1</v>
      </c>
      <c r="J170" s="3">
        <v>11302</v>
      </c>
      <c r="K170">
        <v>4.5999999999999996</v>
      </c>
      <c r="L170">
        <v>2</v>
      </c>
      <c r="M170">
        <v>2.8</v>
      </c>
    </row>
    <row r="171" spans="1:15" x14ac:dyDescent="0.25">
      <c r="A171" t="s">
        <v>44</v>
      </c>
      <c r="B171" s="1" t="s">
        <v>11</v>
      </c>
      <c r="C171" s="1">
        <v>2016</v>
      </c>
      <c r="D171" s="1">
        <v>2</v>
      </c>
      <c r="E171" s="1">
        <v>3</v>
      </c>
      <c r="F171" s="1">
        <v>2.5</v>
      </c>
      <c r="G171" s="1">
        <v>1</v>
      </c>
      <c r="J171" s="6">
        <v>11249</v>
      </c>
      <c r="K171" s="11">
        <v>4.5999999999999996</v>
      </c>
      <c r="L171" s="11">
        <v>2</v>
      </c>
      <c r="M171">
        <v>2.8</v>
      </c>
      <c r="O171" s="7"/>
    </row>
    <row r="172" spans="1:15" x14ac:dyDescent="0.25">
      <c r="A172" t="s">
        <v>44</v>
      </c>
      <c r="B172" s="1" t="s">
        <v>11</v>
      </c>
      <c r="C172" s="1">
        <v>2017</v>
      </c>
      <c r="D172" s="1">
        <v>2</v>
      </c>
      <c r="E172" s="1">
        <v>3</v>
      </c>
      <c r="F172" s="1">
        <v>2.5</v>
      </c>
      <c r="G172" s="1">
        <v>1</v>
      </c>
      <c r="H172" s="5">
        <v>0</v>
      </c>
      <c r="I172" s="2">
        <f>38455/36644</f>
        <v>1.0494214605392425</v>
      </c>
      <c r="J172" s="3">
        <v>11249</v>
      </c>
      <c r="K172">
        <v>4.5999999999999996</v>
      </c>
      <c r="L172">
        <v>2</v>
      </c>
      <c r="M172">
        <v>2.8</v>
      </c>
    </row>
    <row r="173" spans="1:15" x14ac:dyDescent="0.25">
      <c r="A173" s="8" t="s">
        <v>44</v>
      </c>
      <c r="B173" s="1" t="s">
        <v>11</v>
      </c>
      <c r="C173" s="1">
        <v>2018</v>
      </c>
      <c r="D173" s="1">
        <v>2</v>
      </c>
      <c r="E173" s="1">
        <v>3</v>
      </c>
      <c r="F173" s="1">
        <v>2.5</v>
      </c>
      <c r="G173" s="1">
        <v>1</v>
      </c>
      <c r="H173" s="2">
        <v>0</v>
      </c>
      <c r="I173" s="2">
        <v>0.77152062198791171</v>
      </c>
      <c r="J173" s="3">
        <v>11260</v>
      </c>
      <c r="K173">
        <v>4.5999999999999996</v>
      </c>
      <c r="L173">
        <v>2</v>
      </c>
      <c r="M173">
        <v>2.8</v>
      </c>
    </row>
    <row r="174" spans="1:15" x14ac:dyDescent="0.25">
      <c r="A174" s="8" t="s">
        <v>45</v>
      </c>
      <c r="B174" s="1" t="s">
        <v>11</v>
      </c>
      <c r="C174" s="1">
        <v>2014</v>
      </c>
      <c r="D174" s="1">
        <v>2</v>
      </c>
      <c r="E174" s="1">
        <v>3</v>
      </c>
      <c r="F174" s="1">
        <v>2.5</v>
      </c>
      <c r="G174" s="1">
        <v>1</v>
      </c>
      <c r="H174" s="2">
        <v>1.2774653979238755</v>
      </c>
      <c r="I174" s="2">
        <v>0.95708542713567835</v>
      </c>
      <c r="J174" s="3">
        <v>12556</v>
      </c>
      <c r="K174">
        <v>7.8626444159178437</v>
      </c>
      <c r="L174">
        <v>2.5353016688061616</v>
      </c>
      <c r="M174">
        <v>4.5</v>
      </c>
    </row>
    <row r="175" spans="1:15" x14ac:dyDescent="0.25">
      <c r="A175" s="8" t="s">
        <v>45</v>
      </c>
      <c r="B175" s="1" t="s">
        <v>11</v>
      </c>
      <c r="C175" s="1">
        <v>2015</v>
      </c>
      <c r="D175" s="1">
        <v>2</v>
      </c>
      <c r="E175" s="1">
        <v>3</v>
      </c>
      <c r="F175" s="1">
        <v>2.5</v>
      </c>
      <c r="G175" s="1">
        <v>1</v>
      </c>
      <c r="H175" s="2">
        <v>1.3444</v>
      </c>
      <c r="I175" s="2">
        <v>1.105231317859076</v>
      </c>
      <c r="J175" s="3">
        <v>12604</v>
      </c>
      <c r="K175">
        <v>7.8626444159178437</v>
      </c>
      <c r="L175">
        <v>2.5353016688061616</v>
      </c>
      <c r="M175">
        <v>4.5</v>
      </c>
    </row>
    <row r="176" spans="1:15" x14ac:dyDescent="0.25">
      <c r="A176" t="s">
        <v>45</v>
      </c>
      <c r="B176" s="1" t="s">
        <v>11</v>
      </c>
      <c r="C176" s="1">
        <v>2016</v>
      </c>
      <c r="D176" s="1">
        <v>2</v>
      </c>
      <c r="E176" s="1">
        <v>3</v>
      </c>
      <c r="F176" s="1">
        <v>2.5</v>
      </c>
      <c r="G176" s="1">
        <v>1</v>
      </c>
      <c r="H176" s="2">
        <v>0.95030000000000003</v>
      </c>
      <c r="I176" s="2">
        <v>1.0707713209411474</v>
      </c>
      <c r="J176" s="6">
        <v>12464</v>
      </c>
      <c r="K176" s="7">
        <v>7.8626444159178437</v>
      </c>
      <c r="L176" s="7">
        <v>2.5353016688061616</v>
      </c>
      <c r="M176">
        <v>4.5</v>
      </c>
      <c r="O176" s="7"/>
    </row>
    <row r="177" spans="1:15" x14ac:dyDescent="0.25">
      <c r="A177" t="s">
        <v>45</v>
      </c>
      <c r="B177" s="1" t="s">
        <v>11</v>
      </c>
      <c r="C177" s="1">
        <v>2017</v>
      </c>
      <c r="D177" s="1">
        <v>2</v>
      </c>
      <c r="E177" s="1">
        <v>3</v>
      </c>
      <c r="F177" s="1">
        <v>2.5</v>
      </c>
      <c r="G177" s="1">
        <v>1</v>
      </c>
      <c r="H177" s="2">
        <v>1.0536000000000001</v>
      </c>
      <c r="I177" s="2">
        <v>1.1824813390635602</v>
      </c>
      <c r="J177" s="3">
        <v>12700</v>
      </c>
      <c r="K177">
        <v>7.8626444159178437</v>
      </c>
      <c r="L177">
        <v>2.5353016688061616</v>
      </c>
      <c r="M177">
        <v>4.5</v>
      </c>
    </row>
    <row r="178" spans="1:15" x14ac:dyDescent="0.25">
      <c r="A178" s="8" t="s">
        <v>45</v>
      </c>
      <c r="B178" s="1" t="s">
        <v>11</v>
      </c>
      <c r="C178" s="1">
        <v>2018</v>
      </c>
      <c r="D178" s="1">
        <v>2</v>
      </c>
      <c r="E178" s="1">
        <v>3</v>
      </c>
      <c r="F178" s="1">
        <v>2.5</v>
      </c>
      <c r="G178" s="1">
        <v>1</v>
      </c>
      <c r="H178" s="2">
        <v>1.0885</v>
      </c>
      <c r="I178" s="2">
        <v>1.088662185473797</v>
      </c>
      <c r="J178" s="3">
        <v>12767</v>
      </c>
      <c r="K178">
        <v>7.8626444159178437</v>
      </c>
      <c r="L178">
        <v>2.5353016688061616</v>
      </c>
      <c r="M178">
        <v>4.5</v>
      </c>
    </row>
    <row r="179" spans="1:15" x14ac:dyDescent="0.25">
      <c r="A179" s="8" t="s">
        <v>46</v>
      </c>
      <c r="B179" s="1" t="s">
        <v>11</v>
      </c>
      <c r="C179" s="1">
        <v>2014</v>
      </c>
      <c r="D179" s="1">
        <v>1</v>
      </c>
      <c r="E179" s="1">
        <v>1</v>
      </c>
      <c r="F179" s="1">
        <v>1</v>
      </c>
      <c r="G179" s="1">
        <v>0</v>
      </c>
      <c r="J179" s="3">
        <v>216864</v>
      </c>
      <c r="K179">
        <v>0.6</v>
      </c>
      <c r="L179">
        <v>65.599999999999994</v>
      </c>
      <c r="M179">
        <v>3030.9</v>
      </c>
    </row>
    <row r="180" spans="1:15" x14ac:dyDescent="0.25">
      <c r="A180" s="8" t="s">
        <v>46</v>
      </c>
      <c r="B180" s="1" t="s">
        <v>11</v>
      </c>
      <c r="C180" s="1">
        <v>2015</v>
      </c>
      <c r="D180" s="1">
        <v>1</v>
      </c>
      <c r="E180" s="1">
        <v>1</v>
      </c>
      <c r="F180" s="1">
        <v>1</v>
      </c>
      <c r="G180" s="1">
        <v>0</v>
      </c>
      <c r="J180" s="3">
        <v>221152</v>
      </c>
      <c r="K180">
        <v>0.6</v>
      </c>
      <c r="L180">
        <v>65.599999999999994</v>
      </c>
      <c r="M180">
        <v>3090.8</v>
      </c>
    </row>
    <row r="181" spans="1:15" x14ac:dyDescent="0.25">
      <c r="A181" t="s">
        <v>46</v>
      </c>
      <c r="B181" s="1" t="s">
        <v>11</v>
      </c>
      <c r="C181" s="1">
        <v>2016</v>
      </c>
      <c r="D181" s="1">
        <v>1</v>
      </c>
      <c r="E181" s="1">
        <v>1</v>
      </c>
      <c r="F181" s="1">
        <v>1</v>
      </c>
      <c r="G181" s="1">
        <v>0</v>
      </c>
      <c r="J181" s="6">
        <v>231725</v>
      </c>
      <c r="K181" s="11">
        <v>0.6</v>
      </c>
      <c r="L181" s="11">
        <v>65.599999999999994</v>
      </c>
      <c r="M181">
        <v>3238.6</v>
      </c>
      <c r="O181" s="7"/>
    </row>
    <row r="182" spans="1:15" x14ac:dyDescent="0.25">
      <c r="A182" t="s">
        <v>46</v>
      </c>
      <c r="B182" s="1" t="s">
        <v>11</v>
      </c>
      <c r="C182" s="1">
        <v>2017</v>
      </c>
      <c r="D182" s="1">
        <v>1</v>
      </c>
      <c r="E182" s="1">
        <v>1</v>
      </c>
      <c r="F182" s="1">
        <v>1</v>
      </c>
      <c r="G182" s="1">
        <v>0</v>
      </c>
      <c r="H182" s="2">
        <f>17518/13917</f>
        <v>1.258748293454049</v>
      </c>
      <c r="I182" s="2">
        <f>199879/(199879+5352)</f>
        <v>0.97392206830352135</v>
      </c>
      <c r="J182" s="3">
        <v>231725</v>
      </c>
      <c r="K182">
        <v>0.6</v>
      </c>
      <c r="L182">
        <v>65.599999999999994</v>
      </c>
      <c r="M182">
        <v>3238.6</v>
      </c>
    </row>
    <row r="183" spans="1:15" x14ac:dyDescent="0.25">
      <c r="A183" s="8" t="s">
        <v>46</v>
      </c>
      <c r="B183" s="1" t="s">
        <v>11</v>
      </c>
      <c r="C183" s="1">
        <v>2018</v>
      </c>
      <c r="D183" s="1">
        <v>1</v>
      </c>
      <c r="E183" s="1">
        <v>1</v>
      </c>
      <c r="F183" s="1">
        <v>1</v>
      </c>
      <c r="G183" s="1">
        <v>0</v>
      </c>
      <c r="H183" s="2">
        <v>1.1535</v>
      </c>
      <c r="I183" s="2">
        <v>0.9506127497312975</v>
      </c>
      <c r="J183" s="3">
        <v>236893</v>
      </c>
      <c r="K183">
        <v>0.6</v>
      </c>
      <c r="L183">
        <v>65.599999999999994</v>
      </c>
      <c r="M183">
        <v>3310.8</v>
      </c>
    </row>
    <row r="184" spans="1:15" x14ac:dyDescent="0.25">
      <c r="A184" s="8" t="s">
        <v>47</v>
      </c>
      <c r="B184" s="1" t="s">
        <v>11</v>
      </c>
      <c r="C184" s="1">
        <v>2014</v>
      </c>
      <c r="D184" s="1">
        <v>2</v>
      </c>
      <c r="E184" s="1">
        <v>3</v>
      </c>
      <c r="F184" s="1">
        <v>2.5</v>
      </c>
      <c r="G184" s="1">
        <v>1</v>
      </c>
      <c r="J184" s="3">
        <v>50322</v>
      </c>
      <c r="K184">
        <v>15.5</v>
      </c>
      <c r="L184">
        <v>4.7</v>
      </c>
      <c r="M184">
        <v>6.7</v>
      </c>
    </row>
    <row r="185" spans="1:15" x14ac:dyDescent="0.25">
      <c r="A185" s="8" t="s">
        <v>47</v>
      </c>
      <c r="B185" s="1" t="s">
        <v>11</v>
      </c>
      <c r="C185" s="1">
        <v>2015</v>
      </c>
      <c r="D185" s="1">
        <v>2</v>
      </c>
      <c r="E185" s="1">
        <v>3</v>
      </c>
      <c r="F185" s="1">
        <v>2.5</v>
      </c>
      <c r="G185" s="1">
        <v>1</v>
      </c>
      <c r="J185" s="3">
        <v>50847</v>
      </c>
      <c r="K185">
        <v>15.5</v>
      </c>
      <c r="L185">
        <v>4.7</v>
      </c>
      <c r="M185">
        <v>6.7</v>
      </c>
    </row>
    <row r="186" spans="1:15" x14ac:dyDescent="0.25">
      <c r="A186" t="s">
        <v>47</v>
      </c>
      <c r="B186" s="1" t="s">
        <v>11</v>
      </c>
      <c r="C186" s="1">
        <v>2016</v>
      </c>
      <c r="D186" s="1">
        <v>2</v>
      </c>
      <c r="E186" s="1">
        <v>3</v>
      </c>
      <c r="F186" s="1">
        <v>2.5</v>
      </c>
      <c r="G186" s="1">
        <v>1</v>
      </c>
      <c r="J186" s="6">
        <v>52133</v>
      </c>
      <c r="K186" s="11">
        <v>15.5</v>
      </c>
      <c r="L186" s="11">
        <v>4.7</v>
      </c>
      <c r="M186">
        <v>6.9</v>
      </c>
      <c r="O186" s="7"/>
    </row>
    <row r="187" spans="1:15" x14ac:dyDescent="0.25">
      <c r="A187" t="s">
        <v>47</v>
      </c>
      <c r="B187" s="1" t="s">
        <v>11</v>
      </c>
      <c r="C187" s="1">
        <v>2017</v>
      </c>
      <c r="D187" s="1">
        <v>2</v>
      </c>
      <c r="E187" s="1">
        <v>3</v>
      </c>
      <c r="F187" s="1">
        <v>2.5</v>
      </c>
      <c r="G187" s="1">
        <v>1</v>
      </c>
      <c r="H187" s="5">
        <v>1</v>
      </c>
      <c r="I187" s="2">
        <f>1/0.8685</f>
        <v>1.1514104778353482</v>
      </c>
      <c r="J187" s="3">
        <v>52133</v>
      </c>
      <c r="K187">
        <v>15.5</v>
      </c>
      <c r="L187">
        <v>4.7</v>
      </c>
      <c r="M187">
        <v>6.9</v>
      </c>
    </row>
    <row r="188" spans="1:15" x14ac:dyDescent="0.25">
      <c r="A188" s="8" t="s">
        <v>47</v>
      </c>
      <c r="B188" s="1" t="s">
        <v>11</v>
      </c>
      <c r="C188" s="1">
        <v>2018</v>
      </c>
      <c r="D188" s="1">
        <v>2</v>
      </c>
      <c r="E188" s="1">
        <v>3</v>
      </c>
      <c r="F188" s="1">
        <v>2.5</v>
      </c>
      <c r="G188" s="1">
        <v>1</v>
      </c>
      <c r="H188" s="2">
        <v>1</v>
      </c>
      <c r="I188" s="2">
        <v>1.2259467946778322</v>
      </c>
      <c r="J188" s="3">
        <v>53240</v>
      </c>
      <c r="K188">
        <v>15.5</v>
      </c>
      <c r="L188">
        <v>4.7</v>
      </c>
      <c r="M188">
        <v>7.1</v>
      </c>
    </row>
    <row r="189" spans="1:15" x14ac:dyDescent="0.25">
      <c r="A189" s="8" t="s">
        <v>48</v>
      </c>
      <c r="B189" s="1" t="s">
        <v>11</v>
      </c>
      <c r="C189" s="1">
        <v>2014</v>
      </c>
      <c r="D189" s="1">
        <v>2</v>
      </c>
      <c r="E189" s="1">
        <v>3</v>
      </c>
      <c r="F189" s="1">
        <v>2.5</v>
      </c>
      <c r="G189" s="1">
        <v>1</v>
      </c>
      <c r="H189" s="2">
        <v>1.9936886395511921</v>
      </c>
      <c r="I189" s="2">
        <v>1.054629824931449</v>
      </c>
      <c r="J189" s="3">
        <v>8918</v>
      </c>
      <c r="K189">
        <v>5.0245098039215685</v>
      </c>
      <c r="L189">
        <v>0.81327985739750441</v>
      </c>
      <c r="M189">
        <v>4</v>
      </c>
    </row>
    <row r="190" spans="1:15" x14ac:dyDescent="0.25">
      <c r="A190" s="8" t="s">
        <v>48</v>
      </c>
      <c r="B190" s="1" t="s">
        <v>11</v>
      </c>
      <c r="C190" s="1">
        <v>2015</v>
      </c>
      <c r="D190" s="1">
        <v>2</v>
      </c>
      <c r="E190" s="1">
        <v>3</v>
      </c>
      <c r="F190" s="1">
        <v>2.5</v>
      </c>
      <c r="G190" s="1">
        <v>1</v>
      </c>
      <c r="H190" s="2">
        <v>0.49509999999999998</v>
      </c>
      <c r="I190" s="2">
        <v>1.1817434210526316</v>
      </c>
      <c r="J190" s="3">
        <v>9008</v>
      </c>
      <c r="K190">
        <v>5.0245098039215685</v>
      </c>
      <c r="L190">
        <v>0.81327985739750441</v>
      </c>
      <c r="M190">
        <v>4</v>
      </c>
    </row>
    <row r="191" spans="1:15" x14ac:dyDescent="0.25">
      <c r="A191" t="s">
        <v>48</v>
      </c>
      <c r="B191" s="1" t="s">
        <v>11</v>
      </c>
      <c r="C191" s="1">
        <v>2016</v>
      </c>
      <c r="D191" s="1">
        <v>2</v>
      </c>
      <c r="E191" s="1">
        <v>3</v>
      </c>
      <c r="F191" s="1">
        <v>2.5</v>
      </c>
      <c r="G191" s="1">
        <v>1</v>
      </c>
      <c r="H191" s="2">
        <v>0.59920000000000007</v>
      </c>
      <c r="I191" s="2">
        <v>1.1327695340873716</v>
      </c>
      <c r="J191" s="6">
        <v>8976</v>
      </c>
      <c r="K191" s="7">
        <v>5.0245098039215685</v>
      </c>
      <c r="L191" s="7">
        <v>0.81327985739750441</v>
      </c>
      <c r="M191">
        <v>4</v>
      </c>
      <c r="O191" s="7"/>
    </row>
    <row r="192" spans="1:15" x14ac:dyDescent="0.25">
      <c r="A192" t="s">
        <v>48</v>
      </c>
      <c r="B192" s="1" t="s">
        <v>11</v>
      </c>
      <c r="C192" s="1">
        <v>2017</v>
      </c>
      <c r="D192" s="1">
        <v>2</v>
      </c>
      <c r="E192" s="1">
        <v>3</v>
      </c>
      <c r="F192" s="1">
        <v>2.5</v>
      </c>
      <c r="G192" s="1">
        <v>1</v>
      </c>
      <c r="H192" s="2">
        <v>0.72329999999999994</v>
      </c>
      <c r="I192" s="2">
        <v>1.1044074436826641</v>
      </c>
      <c r="J192" s="3">
        <v>9193</v>
      </c>
      <c r="K192">
        <v>5.0245098039215685</v>
      </c>
      <c r="L192">
        <v>0.81327985739750441</v>
      </c>
      <c r="M192">
        <v>4.0999999999999996</v>
      </c>
    </row>
    <row r="193" spans="1:15" x14ac:dyDescent="0.25">
      <c r="A193" s="8" t="s">
        <v>48</v>
      </c>
      <c r="B193" s="1" t="s">
        <v>11</v>
      </c>
      <c r="C193" s="1">
        <v>2018</v>
      </c>
      <c r="D193" s="1">
        <v>2</v>
      </c>
      <c r="E193" s="1">
        <v>3</v>
      </c>
      <c r="F193" s="1">
        <v>2.5</v>
      </c>
      <c r="G193" s="1">
        <v>1</v>
      </c>
      <c r="H193" s="2">
        <v>0.74750000000000005</v>
      </c>
      <c r="I193" s="2">
        <v>0.82075020408163268</v>
      </c>
      <c r="J193" s="3">
        <v>9346</v>
      </c>
      <c r="K193">
        <v>5.0245098039215685</v>
      </c>
      <c r="L193">
        <v>0.81327985739750441</v>
      </c>
      <c r="M193">
        <v>4.2</v>
      </c>
    </row>
    <row r="194" spans="1:15" x14ac:dyDescent="0.25">
      <c r="A194" s="8" t="s">
        <v>49</v>
      </c>
      <c r="B194" s="1" t="s">
        <v>11</v>
      </c>
      <c r="C194" s="1">
        <v>2014</v>
      </c>
      <c r="D194" s="1">
        <v>2</v>
      </c>
      <c r="E194" s="1">
        <v>3</v>
      </c>
      <c r="F194" s="1">
        <v>2.5</v>
      </c>
      <c r="G194" s="1">
        <v>1</v>
      </c>
      <c r="J194" s="3">
        <v>8962</v>
      </c>
      <c r="K194">
        <v>4</v>
      </c>
      <c r="L194">
        <v>3.3</v>
      </c>
      <c r="M194">
        <v>1</v>
      </c>
    </row>
    <row r="195" spans="1:15" x14ac:dyDescent="0.25">
      <c r="A195" s="8" t="s">
        <v>49</v>
      </c>
      <c r="B195" s="1" t="s">
        <v>11</v>
      </c>
      <c r="C195" s="1">
        <v>2015</v>
      </c>
      <c r="D195" s="1">
        <v>2</v>
      </c>
      <c r="E195" s="1">
        <v>3</v>
      </c>
      <c r="F195" s="1">
        <v>2.5</v>
      </c>
      <c r="G195" s="1">
        <v>1</v>
      </c>
      <c r="J195" s="3">
        <v>9012</v>
      </c>
      <c r="K195">
        <v>4</v>
      </c>
      <c r="L195">
        <v>3.3</v>
      </c>
      <c r="M195">
        <v>1</v>
      </c>
    </row>
    <row r="196" spans="1:15" x14ac:dyDescent="0.25">
      <c r="A196" t="s">
        <v>49</v>
      </c>
      <c r="B196" s="1" t="s">
        <v>11</v>
      </c>
      <c r="C196" s="1">
        <v>2016</v>
      </c>
      <c r="D196" s="1">
        <v>2</v>
      </c>
      <c r="E196" s="1">
        <v>3</v>
      </c>
      <c r="F196" s="1">
        <v>2.5</v>
      </c>
      <c r="G196" s="1">
        <v>1</v>
      </c>
      <c r="J196" s="6">
        <v>8955</v>
      </c>
      <c r="K196" s="7">
        <v>4</v>
      </c>
      <c r="L196" s="7">
        <v>3.3</v>
      </c>
      <c r="M196">
        <v>1</v>
      </c>
      <c r="O196" s="7"/>
    </row>
    <row r="197" spans="1:15" x14ac:dyDescent="0.25">
      <c r="A197" t="s">
        <v>49</v>
      </c>
      <c r="B197" s="1" t="s">
        <v>11</v>
      </c>
      <c r="C197" s="1">
        <v>2017</v>
      </c>
      <c r="D197" s="1">
        <v>2</v>
      </c>
      <c r="E197" s="1">
        <v>3</v>
      </c>
      <c r="F197" s="1">
        <v>2.5</v>
      </c>
      <c r="G197" s="1">
        <v>1</v>
      </c>
      <c r="H197" s="2">
        <f>4295/4846</f>
        <v>0.88629797771357821</v>
      </c>
      <c r="I197" s="2">
        <f>36489/30378</f>
        <v>1.2011653170057279</v>
      </c>
      <c r="J197" s="3">
        <v>8955</v>
      </c>
      <c r="K197">
        <v>4</v>
      </c>
      <c r="L197">
        <v>3.3</v>
      </c>
      <c r="M197">
        <v>1</v>
      </c>
    </row>
    <row r="198" spans="1:15" x14ac:dyDescent="0.25">
      <c r="A198" s="8" t="s">
        <v>49</v>
      </c>
      <c r="B198" s="1" t="s">
        <v>11</v>
      </c>
      <c r="C198" s="1">
        <v>2018</v>
      </c>
      <c r="D198" s="1">
        <v>2</v>
      </c>
      <c r="E198" s="1">
        <v>3</v>
      </c>
      <c r="F198" s="1">
        <v>2.5</v>
      </c>
      <c r="G198" s="1">
        <v>1</v>
      </c>
      <c r="H198" s="2">
        <v>0.98199999999999998</v>
      </c>
      <c r="I198" s="2">
        <v>1.1232100708103856</v>
      </c>
      <c r="J198" s="3">
        <v>8995</v>
      </c>
      <c r="K198">
        <v>4</v>
      </c>
      <c r="L198">
        <v>3.3</v>
      </c>
      <c r="M198">
        <v>1</v>
      </c>
    </row>
    <row r="199" spans="1:15" x14ac:dyDescent="0.25">
      <c r="A199" s="8" t="s">
        <v>50</v>
      </c>
      <c r="B199" s="1" t="s">
        <v>11</v>
      </c>
      <c r="C199" s="1">
        <v>2014</v>
      </c>
      <c r="D199" s="1">
        <v>2</v>
      </c>
      <c r="E199" s="1">
        <v>3</v>
      </c>
      <c r="F199" s="1">
        <v>2.5</v>
      </c>
      <c r="G199" s="1">
        <v>1</v>
      </c>
      <c r="H199" s="2">
        <v>1.7137761496192037</v>
      </c>
      <c r="I199" s="2">
        <v>1.0365709004021735</v>
      </c>
      <c r="J199" s="3">
        <v>37483</v>
      </c>
      <c r="K199">
        <v>5.5870423594509662</v>
      </c>
      <c r="L199">
        <v>3.7658814365145457</v>
      </c>
      <c r="M199">
        <v>10.9</v>
      </c>
    </row>
    <row r="200" spans="1:15" x14ac:dyDescent="0.25">
      <c r="A200" s="8" t="s">
        <v>50</v>
      </c>
      <c r="B200" s="1" t="s">
        <v>11</v>
      </c>
      <c r="C200" s="1">
        <v>2015</v>
      </c>
      <c r="D200" s="1">
        <v>2</v>
      </c>
      <c r="E200" s="1">
        <v>3</v>
      </c>
      <c r="F200" s="1">
        <v>2.5</v>
      </c>
      <c r="G200" s="1">
        <v>1</v>
      </c>
      <c r="H200" s="2">
        <v>1</v>
      </c>
      <c r="I200" s="2">
        <v>1.0824775451910973</v>
      </c>
      <c r="J200" s="3">
        <v>37733</v>
      </c>
      <c r="K200">
        <v>5.5870423594509662</v>
      </c>
      <c r="L200">
        <v>3.7658814365145457</v>
      </c>
      <c r="M200">
        <v>11</v>
      </c>
    </row>
    <row r="201" spans="1:15" x14ac:dyDescent="0.25">
      <c r="A201" t="s">
        <v>50</v>
      </c>
      <c r="B201" s="1" t="s">
        <v>11</v>
      </c>
      <c r="C201" s="1">
        <v>2016</v>
      </c>
      <c r="D201" s="1">
        <v>2</v>
      </c>
      <c r="E201" s="1">
        <v>3</v>
      </c>
      <c r="F201" s="1">
        <v>2.5</v>
      </c>
      <c r="G201" s="1">
        <v>1</v>
      </c>
      <c r="H201" s="2">
        <v>1</v>
      </c>
      <c r="I201" s="2">
        <v>1.2307729305377328</v>
      </c>
      <c r="J201" s="6">
        <v>37229</v>
      </c>
      <c r="K201" s="7">
        <v>5.5870423594509662</v>
      </c>
      <c r="L201" s="7">
        <v>3.7658814365145457</v>
      </c>
      <c r="M201">
        <v>11.1</v>
      </c>
      <c r="O201" s="7"/>
    </row>
    <row r="202" spans="1:15" x14ac:dyDescent="0.25">
      <c r="A202" t="s">
        <v>50</v>
      </c>
      <c r="B202" s="1" t="s">
        <v>11</v>
      </c>
      <c r="C202" s="1">
        <v>2017</v>
      </c>
      <c r="D202" s="1">
        <v>2</v>
      </c>
      <c r="E202" s="1">
        <v>3</v>
      </c>
      <c r="F202" s="1">
        <v>2.5</v>
      </c>
      <c r="G202" s="1">
        <v>1</v>
      </c>
      <c r="H202" s="2">
        <v>1</v>
      </c>
      <c r="I202" s="2">
        <v>1.2193142414421905</v>
      </c>
      <c r="J202" s="3">
        <v>38097</v>
      </c>
      <c r="K202">
        <v>5.5870423594509662</v>
      </c>
      <c r="L202">
        <v>3.7658814365145457</v>
      </c>
      <c r="M202">
        <v>11.1</v>
      </c>
    </row>
    <row r="203" spans="1:15" x14ac:dyDescent="0.25">
      <c r="A203" s="8" t="s">
        <v>50</v>
      </c>
      <c r="B203" s="1" t="s">
        <v>11</v>
      </c>
      <c r="C203" s="1">
        <v>2018</v>
      </c>
      <c r="D203" s="1">
        <v>2</v>
      </c>
      <c r="E203" s="1">
        <v>3</v>
      </c>
      <c r="F203" s="1">
        <v>2.5</v>
      </c>
      <c r="G203" s="1">
        <v>1</v>
      </c>
      <c r="H203" s="2">
        <v>1</v>
      </c>
      <c r="I203" s="2">
        <v>1.0614376002263937</v>
      </c>
      <c r="J203" s="3">
        <v>38288</v>
      </c>
      <c r="K203">
        <v>5.5870423594509662</v>
      </c>
      <c r="L203">
        <v>3.7658814365145457</v>
      </c>
      <c r="M203">
        <v>11.2</v>
      </c>
    </row>
    <row r="204" spans="1:15" x14ac:dyDescent="0.25">
      <c r="A204" s="8" t="s">
        <v>51</v>
      </c>
      <c r="B204" s="1" t="s">
        <v>11</v>
      </c>
      <c r="C204" s="1">
        <v>2014</v>
      </c>
      <c r="D204" s="1">
        <v>1</v>
      </c>
      <c r="E204" s="1">
        <v>1</v>
      </c>
      <c r="F204" s="1">
        <v>1</v>
      </c>
      <c r="G204" s="1">
        <v>0</v>
      </c>
      <c r="H204" s="2">
        <v>1.0734759638802502</v>
      </c>
      <c r="I204" s="2">
        <v>1.02019472529824</v>
      </c>
      <c r="J204" s="3">
        <v>201788</v>
      </c>
      <c r="K204">
        <v>0.7474247545469177</v>
      </c>
      <c r="L204">
        <v>70.781023660067603</v>
      </c>
      <c r="M204">
        <v>1987.9</v>
      </c>
    </row>
    <row r="205" spans="1:15" x14ac:dyDescent="0.25">
      <c r="A205" s="8" t="s">
        <v>51</v>
      </c>
      <c r="B205" s="1" t="s">
        <v>11</v>
      </c>
      <c r="C205" s="1">
        <v>2015</v>
      </c>
      <c r="D205" s="1">
        <v>1</v>
      </c>
      <c r="E205" s="1">
        <v>1</v>
      </c>
      <c r="F205" s="1">
        <v>1</v>
      </c>
      <c r="G205" s="1">
        <v>0</v>
      </c>
      <c r="H205" s="2">
        <v>0.95379999999999998</v>
      </c>
      <c r="I205" s="2">
        <v>1.1451249875510408</v>
      </c>
      <c r="J205" s="3">
        <v>203490</v>
      </c>
      <c r="K205">
        <v>0.7474247545469177</v>
      </c>
      <c r="L205">
        <v>70.781023660067603</v>
      </c>
      <c r="M205">
        <v>2004.7</v>
      </c>
    </row>
    <row r="206" spans="1:15" x14ac:dyDescent="0.25">
      <c r="A206" t="s">
        <v>51</v>
      </c>
      <c r="B206" s="1" t="s">
        <v>11</v>
      </c>
      <c r="C206" s="1">
        <v>2016</v>
      </c>
      <c r="D206" s="1">
        <v>1</v>
      </c>
      <c r="E206" s="1">
        <v>1</v>
      </c>
      <c r="F206" s="1">
        <v>1</v>
      </c>
      <c r="G206" s="1">
        <v>0</v>
      </c>
      <c r="H206" s="2">
        <v>1.0820999999999998</v>
      </c>
      <c r="I206" s="2">
        <v>1.2985119126494051</v>
      </c>
      <c r="J206" s="6">
        <v>198816</v>
      </c>
      <c r="K206" s="7">
        <v>0.7474247545469177</v>
      </c>
      <c r="L206" s="7">
        <v>70.781023660067603</v>
      </c>
      <c r="M206">
        <v>2026.2</v>
      </c>
      <c r="O206" s="7"/>
    </row>
    <row r="207" spans="1:15" x14ac:dyDescent="0.25">
      <c r="A207" t="s">
        <v>51</v>
      </c>
      <c r="B207" s="1" t="s">
        <v>11</v>
      </c>
      <c r="C207" s="1">
        <v>2017</v>
      </c>
      <c r="D207" s="1">
        <v>1</v>
      </c>
      <c r="E207" s="1">
        <v>1</v>
      </c>
      <c r="F207" s="1">
        <v>1</v>
      </c>
      <c r="G207" s="1">
        <v>0</v>
      </c>
      <c r="H207" s="2">
        <v>1.0081</v>
      </c>
      <c r="I207" s="2">
        <v>1.2709800699118277</v>
      </c>
      <c r="J207" s="3">
        <v>208636</v>
      </c>
      <c r="K207">
        <v>0.7474247545469177</v>
      </c>
      <c r="L207">
        <v>70.781023660067603</v>
      </c>
      <c r="M207">
        <v>2055.4</v>
      </c>
    </row>
    <row r="208" spans="1:15" x14ac:dyDescent="0.25">
      <c r="A208" s="8" t="s">
        <v>51</v>
      </c>
      <c r="B208" s="1" t="s">
        <v>11</v>
      </c>
      <c r="C208" s="1">
        <v>2018</v>
      </c>
      <c r="D208" s="1">
        <v>1</v>
      </c>
      <c r="E208" s="1">
        <v>1</v>
      </c>
      <c r="F208" s="1">
        <v>1</v>
      </c>
      <c r="G208" s="1">
        <v>0</v>
      </c>
      <c r="H208" s="2">
        <v>1.2241</v>
      </c>
      <c r="I208" s="2">
        <v>1.0905047367603664</v>
      </c>
      <c r="J208" s="3">
        <v>210612</v>
      </c>
      <c r="K208">
        <v>0.7474247545469177</v>
      </c>
      <c r="L208">
        <v>70.781023660067603</v>
      </c>
      <c r="M208">
        <v>2074.9</v>
      </c>
    </row>
    <row r="209" spans="1:15" x14ac:dyDescent="0.25">
      <c r="A209" s="8" t="s">
        <v>52</v>
      </c>
      <c r="B209" s="1" t="s">
        <v>11</v>
      </c>
      <c r="C209" s="1">
        <v>2014</v>
      </c>
      <c r="D209" s="1">
        <v>2</v>
      </c>
      <c r="E209" s="1">
        <v>3</v>
      </c>
      <c r="F209" s="1">
        <v>2.5</v>
      </c>
      <c r="G209" s="1">
        <v>1</v>
      </c>
      <c r="J209" s="3">
        <v>12499</v>
      </c>
      <c r="K209">
        <v>1.7</v>
      </c>
      <c r="L209">
        <v>2</v>
      </c>
      <c r="M209">
        <v>2.2000000000000002</v>
      </c>
    </row>
    <row r="210" spans="1:15" x14ac:dyDescent="0.25">
      <c r="A210" s="8" t="s">
        <v>52</v>
      </c>
      <c r="B210" s="1" t="s">
        <v>11</v>
      </c>
      <c r="C210" s="1">
        <v>2015</v>
      </c>
      <c r="D210" s="1">
        <v>2</v>
      </c>
      <c r="E210" s="1">
        <v>3</v>
      </c>
      <c r="F210" s="1">
        <v>2.5</v>
      </c>
      <c r="G210" s="1">
        <v>1</v>
      </c>
      <c r="J210" s="3">
        <v>12470</v>
      </c>
      <c r="K210">
        <v>1.7</v>
      </c>
      <c r="L210">
        <v>2</v>
      </c>
      <c r="M210">
        <v>2.2000000000000002</v>
      </c>
    </row>
    <row r="211" spans="1:15" x14ac:dyDescent="0.25">
      <c r="A211" t="s">
        <v>52</v>
      </c>
      <c r="B211" s="1" t="s">
        <v>11</v>
      </c>
      <c r="C211" s="1">
        <v>2016</v>
      </c>
      <c r="D211" s="1">
        <v>2</v>
      </c>
      <c r="E211" s="1">
        <v>3</v>
      </c>
      <c r="F211" s="1">
        <v>2.5</v>
      </c>
      <c r="G211" s="1">
        <v>1</v>
      </c>
      <c r="J211" s="6">
        <v>12450</v>
      </c>
      <c r="K211" s="7">
        <v>1.7</v>
      </c>
      <c r="L211" s="7">
        <v>2</v>
      </c>
      <c r="M211">
        <v>2.2000000000000002</v>
      </c>
      <c r="O211" s="7"/>
    </row>
    <row r="212" spans="1:15" x14ac:dyDescent="0.25">
      <c r="A212" t="s">
        <v>52</v>
      </c>
      <c r="B212" s="1" t="s">
        <v>11</v>
      </c>
      <c r="C212" s="1">
        <v>2017</v>
      </c>
      <c r="D212" s="1">
        <v>2</v>
      </c>
      <c r="E212" s="1">
        <v>3</v>
      </c>
      <c r="F212" s="1">
        <v>2.5</v>
      </c>
      <c r="G212" s="1">
        <v>1</v>
      </c>
      <c r="H212" s="2">
        <f>5139/5365</f>
        <v>0.95787511649580614</v>
      </c>
      <c r="I212" s="2">
        <f>40757/38178</f>
        <v>1.0675519932945676</v>
      </c>
      <c r="J212" s="3">
        <v>12450</v>
      </c>
      <c r="K212">
        <v>1.7</v>
      </c>
      <c r="L212">
        <v>2</v>
      </c>
      <c r="M212">
        <v>2.2000000000000002</v>
      </c>
    </row>
    <row r="213" spans="1:15" x14ac:dyDescent="0.25">
      <c r="A213" s="8" t="s">
        <v>52</v>
      </c>
      <c r="B213" s="1" t="s">
        <v>11</v>
      </c>
      <c r="C213" s="1">
        <v>2018</v>
      </c>
      <c r="D213" s="1">
        <v>2</v>
      </c>
      <c r="E213" s="1">
        <v>3</v>
      </c>
      <c r="F213" s="1">
        <v>2.5</v>
      </c>
      <c r="G213" s="1">
        <v>1</v>
      </c>
      <c r="H213" s="2">
        <v>0.72129999999999994</v>
      </c>
      <c r="I213" s="2">
        <v>1.0400200987201844</v>
      </c>
      <c r="J213" s="3">
        <v>12462</v>
      </c>
      <c r="K213">
        <v>1.7</v>
      </c>
      <c r="L213">
        <v>2</v>
      </c>
      <c r="M213">
        <v>2.2000000000000002</v>
      </c>
    </row>
    <row r="214" spans="1:15" x14ac:dyDescent="0.25">
      <c r="A214" s="8" t="s">
        <v>53</v>
      </c>
      <c r="B214" s="1" t="s">
        <v>11</v>
      </c>
      <c r="C214" s="1">
        <v>2014</v>
      </c>
      <c r="D214" s="1">
        <v>3</v>
      </c>
      <c r="E214" s="1">
        <v>3</v>
      </c>
      <c r="F214" s="1">
        <v>3</v>
      </c>
      <c r="G214" s="1">
        <v>0</v>
      </c>
      <c r="H214" s="2">
        <v>0.86500579374275777</v>
      </c>
      <c r="I214" s="2">
        <v>0.99426357964457845</v>
      </c>
      <c r="J214" s="3">
        <v>9698</v>
      </c>
      <c r="K214">
        <v>11.043904473876315</v>
      </c>
      <c r="L214">
        <v>1.866722285952654</v>
      </c>
      <c r="M214">
        <v>2.1</v>
      </c>
    </row>
    <row r="215" spans="1:15" x14ac:dyDescent="0.25">
      <c r="A215" s="8" t="s">
        <v>53</v>
      </c>
      <c r="B215" s="1" t="s">
        <v>11</v>
      </c>
      <c r="C215" s="1">
        <v>2015</v>
      </c>
      <c r="D215" s="1">
        <v>3</v>
      </c>
      <c r="E215" s="1">
        <v>3</v>
      </c>
      <c r="F215" s="1">
        <v>3</v>
      </c>
      <c r="G215" s="1">
        <v>0</v>
      </c>
      <c r="H215" s="2">
        <v>2.0661</v>
      </c>
      <c r="I215" s="2">
        <v>0.98541957942191916</v>
      </c>
      <c r="J215" s="3">
        <v>9750</v>
      </c>
      <c r="K215">
        <v>11.043904473876315</v>
      </c>
      <c r="L215">
        <v>1.866722285952654</v>
      </c>
      <c r="M215">
        <v>2.1</v>
      </c>
    </row>
    <row r="216" spans="1:15" x14ac:dyDescent="0.25">
      <c r="A216" t="s">
        <v>53</v>
      </c>
      <c r="B216" s="1" t="s">
        <v>11</v>
      </c>
      <c r="C216" s="1">
        <v>2016</v>
      </c>
      <c r="D216" s="1">
        <v>3</v>
      </c>
      <c r="E216" s="1">
        <v>3</v>
      </c>
      <c r="F216" s="1">
        <v>3</v>
      </c>
      <c r="G216" s="1">
        <v>0</v>
      </c>
      <c r="H216" s="2">
        <v>1.5387999999999999</v>
      </c>
      <c r="I216" s="2">
        <v>1.1508075736495069</v>
      </c>
      <c r="J216" s="6">
        <v>9589</v>
      </c>
      <c r="K216" s="7">
        <v>11.043904473876315</v>
      </c>
      <c r="L216" s="7">
        <v>1.866722285952654</v>
      </c>
      <c r="M216">
        <v>2.1</v>
      </c>
      <c r="O216" s="7"/>
    </row>
    <row r="217" spans="1:15" x14ac:dyDescent="0.25">
      <c r="A217" t="s">
        <v>53</v>
      </c>
      <c r="B217" s="1" t="s">
        <v>11</v>
      </c>
      <c r="C217" s="1">
        <v>2017</v>
      </c>
      <c r="D217" s="1">
        <v>3</v>
      </c>
      <c r="E217" s="1">
        <v>3</v>
      </c>
      <c r="F217" s="1">
        <v>3</v>
      </c>
      <c r="G217" s="1">
        <v>0</v>
      </c>
      <c r="H217" s="2">
        <v>0.93989999999999996</v>
      </c>
      <c r="I217" s="2">
        <v>1.0112720974349105</v>
      </c>
      <c r="J217" s="3">
        <v>9865</v>
      </c>
      <c r="K217">
        <v>11.043904473876315</v>
      </c>
      <c r="L217">
        <v>1.866722285952654</v>
      </c>
      <c r="M217">
        <v>2.1</v>
      </c>
    </row>
    <row r="218" spans="1:15" x14ac:dyDescent="0.25">
      <c r="A218" s="8" t="s">
        <v>53</v>
      </c>
      <c r="B218" s="1" t="s">
        <v>11</v>
      </c>
      <c r="C218" s="1">
        <v>2018</v>
      </c>
      <c r="D218" s="1">
        <v>3</v>
      </c>
      <c r="E218" s="1">
        <v>3</v>
      </c>
      <c r="F218" s="1">
        <v>3</v>
      </c>
      <c r="G218" s="1">
        <v>0</v>
      </c>
      <c r="H218" s="2">
        <v>0.58950000000000002</v>
      </c>
      <c r="I218" s="2">
        <v>1.1668435631261487</v>
      </c>
      <c r="J218" s="3">
        <v>9910</v>
      </c>
      <c r="K218">
        <v>11.043904473876315</v>
      </c>
      <c r="L218">
        <v>1.866722285952654</v>
      </c>
      <c r="M218">
        <v>2.1</v>
      </c>
    </row>
    <row r="219" spans="1:15" x14ac:dyDescent="0.25">
      <c r="A219" s="8" t="s">
        <v>54</v>
      </c>
      <c r="B219" s="1" t="s">
        <v>11</v>
      </c>
      <c r="C219" s="1">
        <v>2014</v>
      </c>
      <c r="D219" s="1">
        <v>1</v>
      </c>
      <c r="E219" s="1">
        <v>1</v>
      </c>
      <c r="F219" s="1">
        <v>1</v>
      </c>
      <c r="G219" s="1">
        <v>0</v>
      </c>
      <c r="J219" s="3">
        <v>148882</v>
      </c>
      <c r="K219">
        <v>0.5</v>
      </c>
      <c r="L219">
        <v>53.5</v>
      </c>
      <c r="M219">
        <v>3882.6</v>
      </c>
    </row>
    <row r="220" spans="1:15" x14ac:dyDescent="0.25">
      <c r="A220" s="8" t="s">
        <v>54</v>
      </c>
      <c r="B220" s="1" t="s">
        <v>11</v>
      </c>
      <c r="C220" s="1">
        <v>2015</v>
      </c>
      <c r="D220" s="1">
        <v>1</v>
      </c>
      <c r="E220" s="1">
        <v>1</v>
      </c>
      <c r="F220" s="1">
        <v>1</v>
      </c>
      <c r="G220" s="1">
        <v>0</v>
      </c>
      <c r="J220" s="3">
        <v>151069</v>
      </c>
      <c r="K220">
        <v>0.5</v>
      </c>
      <c r="L220">
        <v>53.5</v>
      </c>
      <c r="M220">
        <v>3939.6</v>
      </c>
    </row>
    <row r="221" spans="1:15" x14ac:dyDescent="0.25">
      <c r="A221" t="s">
        <v>54</v>
      </c>
      <c r="B221" s="1" t="s">
        <v>11</v>
      </c>
      <c r="C221" s="1">
        <v>2016</v>
      </c>
      <c r="D221" s="1">
        <v>1</v>
      </c>
      <c r="E221" s="1">
        <v>1</v>
      </c>
      <c r="F221" s="1">
        <v>1</v>
      </c>
      <c r="G221" s="1">
        <v>0</v>
      </c>
      <c r="J221" s="6">
        <v>156435</v>
      </c>
      <c r="K221" s="7">
        <v>0.5</v>
      </c>
      <c r="L221" s="7">
        <v>53.5</v>
      </c>
      <c r="M221">
        <v>4079.6</v>
      </c>
      <c r="O221" s="7"/>
    </row>
    <row r="222" spans="1:15" x14ac:dyDescent="0.25">
      <c r="A222" t="s">
        <v>54</v>
      </c>
      <c r="B222" s="1" t="s">
        <v>11</v>
      </c>
      <c r="C222" s="1">
        <v>2017</v>
      </c>
      <c r="D222" s="1">
        <v>1</v>
      </c>
      <c r="E222" s="1">
        <v>1</v>
      </c>
      <c r="F222" s="1">
        <v>1</v>
      </c>
      <c r="G222" s="1">
        <v>0</v>
      </c>
      <c r="H222" s="2">
        <f>24837/19418</f>
        <v>1.2790709650839427</v>
      </c>
      <c r="I222" s="2">
        <f>153101/135757</f>
        <v>1.1277576846866091</v>
      </c>
      <c r="J222" s="3">
        <v>156435</v>
      </c>
      <c r="K222">
        <v>0.5</v>
      </c>
      <c r="L222">
        <v>53.5</v>
      </c>
      <c r="M222">
        <v>4079.6</v>
      </c>
    </row>
    <row r="223" spans="1:15" x14ac:dyDescent="0.25">
      <c r="A223" s="8" t="s">
        <v>54</v>
      </c>
      <c r="B223" s="1" t="s">
        <v>11</v>
      </c>
      <c r="C223" s="1">
        <v>2018</v>
      </c>
      <c r="D223" s="1">
        <v>1</v>
      </c>
      <c r="E223" s="1">
        <v>1</v>
      </c>
      <c r="F223" s="1">
        <v>1</v>
      </c>
      <c r="G223" s="1">
        <v>0</v>
      </c>
      <c r="H223" s="2">
        <v>1.1459999999999999</v>
      </c>
      <c r="I223" s="2">
        <v>0.97792267998145654</v>
      </c>
      <c r="J223" s="3">
        <v>158411</v>
      </c>
      <c r="K223">
        <v>0.5</v>
      </c>
      <c r="L223">
        <v>53.5</v>
      </c>
      <c r="M223">
        <v>4131.1000000000004</v>
      </c>
    </row>
    <row r="224" spans="1:15" x14ac:dyDescent="0.25">
      <c r="A224" s="8" t="s">
        <v>55</v>
      </c>
      <c r="B224" s="1" t="s">
        <v>11</v>
      </c>
      <c r="C224" s="1">
        <v>2014</v>
      </c>
      <c r="D224" s="1">
        <v>3</v>
      </c>
      <c r="E224" s="1">
        <v>3</v>
      </c>
      <c r="F224" s="1">
        <v>3</v>
      </c>
      <c r="G224" s="1">
        <v>0</v>
      </c>
      <c r="H224" s="2">
        <v>1.1301095378039006</v>
      </c>
      <c r="I224" s="2">
        <v>1.0363003063494063</v>
      </c>
      <c r="J224" s="3">
        <v>4382</v>
      </c>
      <c r="K224">
        <v>14.170996693434104</v>
      </c>
      <c r="L224">
        <v>2.1020311761927255</v>
      </c>
      <c r="M224">
        <v>0.9</v>
      </c>
    </row>
    <row r="225" spans="1:15" x14ac:dyDescent="0.25">
      <c r="A225" s="8" t="s">
        <v>55</v>
      </c>
      <c r="B225" s="1" t="s">
        <v>11</v>
      </c>
      <c r="C225" s="1">
        <v>2015</v>
      </c>
      <c r="D225" s="1">
        <v>3</v>
      </c>
      <c r="E225" s="1">
        <v>3</v>
      </c>
      <c r="F225" s="1">
        <v>3</v>
      </c>
      <c r="G225" s="1">
        <v>0</v>
      </c>
      <c r="H225" s="2">
        <v>0.9335</v>
      </c>
      <c r="I225" s="2">
        <v>1.0041095890410958</v>
      </c>
      <c r="J225" s="3">
        <v>4342</v>
      </c>
      <c r="K225">
        <v>14.170996693434104</v>
      </c>
      <c r="L225">
        <v>2.1020311761927255</v>
      </c>
      <c r="M225">
        <v>0.9</v>
      </c>
    </row>
    <row r="226" spans="1:15" x14ac:dyDescent="0.25">
      <c r="A226" t="s">
        <v>55</v>
      </c>
      <c r="B226" s="1" t="s">
        <v>11</v>
      </c>
      <c r="C226" s="1">
        <v>2016</v>
      </c>
      <c r="D226" s="1">
        <v>3</v>
      </c>
      <c r="E226" s="1">
        <v>3</v>
      </c>
      <c r="F226" s="1">
        <v>3</v>
      </c>
      <c r="G226" s="1">
        <v>0</v>
      </c>
      <c r="H226" s="2">
        <v>0.88400000000000001</v>
      </c>
      <c r="I226" s="2">
        <v>1.126932867292276</v>
      </c>
      <c r="J226" s="6">
        <v>4234</v>
      </c>
      <c r="K226" s="7">
        <v>14.170996693434104</v>
      </c>
      <c r="L226" s="7">
        <v>2.1020311761927255</v>
      </c>
      <c r="M226">
        <v>0.9</v>
      </c>
      <c r="O226" s="7"/>
    </row>
    <row r="227" spans="1:15" x14ac:dyDescent="0.25">
      <c r="A227" t="s">
        <v>55</v>
      </c>
      <c r="B227" s="1" t="s">
        <v>11</v>
      </c>
      <c r="C227" s="1">
        <v>2017</v>
      </c>
      <c r="D227" s="1">
        <v>3</v>
      </c>
      <c r="E227" s="1">
        <v>3</v>
      </c>
      <c r="F227" s="1">
        <v>3</v>
      </c>
      <c r="G227" s="1">
        <v>0</v>
      </c>
      <c r="H227" s="2">
        <v>1.0225</v>
      </c>
      <c r="I227" s="2">
        <v>1.2887273508558332</v>
      </c>
      <c r="J227" s="3">
        <v>4249</v>
      </c>
      <c r="K227">
        <v>14.170996693434104</v>
      </c>
      <c r="L227">
        <v>2.1020311761927255</v>
      </c>
      <c r="M227">
        <v>0.9</v>
      </c>
    </row>
    <row r="228" spans="1:15" x14ac:dyDescent="0.25">
      <c r="A228" s="8" t="s">
        <v>55</v>
      </c>
      <c r="B228" s="1" t="s">
        <v>11</v>
      </c>
      <c r="C228" s="1">
        <v>2018</v>
      </c>
      <c r="D228" s="1">
        <v>3</v>
      </c>
      <c r="E228" s="1">
        <v>3</v>
      </c>
      <c r="F228" s="1">
        <v>3</v>
      </c>
      <c r="G228" s="1">
        <v>0</v>
      </c>
      <c r="H228" s="2">
        <v>1.2046999999999999</v>
      </c>
      <c r="I228" s="2">
        <v>1.0489006944666688</v>
      </c>
      <c r="J228" s="3">
        <v>4226</v>
      </c>
      <c r="K228">
        <v>14.170996693434104</v>
      </c>
      <c r="L228">
        <v>2.1020311761927255</v>
      </c>
      <c r="M228">
        <v>0.9</v>
      </c>
    </row>
    <row r="229" spans="1:15" x14ac:dyDescent="0.25">
      <c r="A229" s="8" t="s">
        <v>56</v>
      </c>
      <c r="B229" s="1" t="s">
        <v>11</v>
      </c>
      <c r="C229" s="1">
        <v>2014</v>
      </c>
      <c r="D229" s="1">
        <v>3</v>
      </c>
      <c r="E229" s="1">
        <v>3</v>
      </c>
      <c r="F229" s="1">
        <v>3</v>
      </c>
      <c r="G229" s="1">
        <v>0</v>
      </c>
      <c r="H229" s="2">
        <v>1.0297393903500227</v>
      </c>
      <c r="I229" s="2">
        <v>1.0320677909778184</v>
      </c>
      <c r="J229" s="3">
        <v>8919</v>
      </c>
      <c r="K229">
        <v>5.9895833333333339</v>
      </c>
      <c r="L229">
        <v>2.1965579710144927</v>
      </c>
      <c r="M229">
        <v>1.6</v>
      </c>
    </row>
    <row r="230" spans="1:15" x14ac:dyDescent="0.25">
      <c r="A230" s="8" t="s">
        <v>56</v>
      </c>
      <c r="B230" s="1" t="s">
        <v>11</v>
      </c>
      <c r="C230" s="1">
        <v>2015</v>
      </c>
      <c r="D230" s="1">
        <v>3</v>
      </c>
      <c r="E230" s="1">
        <v>3</v>
      </c>
      <c r="F230" s="1">
        <v>3</v>
      </c>
      <c r="G230" s="1">
        <v>0</v>
      </c>
      <c r="H230" s="2">
        <v>1.1109</v>
      </c>
      <c r="I230" s="2">
        <v>1.0647842562033982</v>
      </c>
      <c r="J230" s="3">
        <v>8926</v>
      </c>
      <c r="K230">
        <v>5.9895833333333339</v>
      </c>
      <c r="L230">
        <v>2.1965579710144927</v>
      </c>
      <c r="M230">
        <v>1.6</v>
      </c>
    </row>
    <row r="231" spans="1:15" x14ac:dyDescent="0.25">
      <c r="A231" t="s">
        <v>56</v>
      </c>
      <c r="B231" s="1" t="s">
        <v>11</v>
      </c>
      <c r="C231" s="1">
        <v>2016</v>
      </c>
      <c r="D231" s="1">
        <v>3</v>
      </c>
      <c r="E231" s="1">
        <v>3</v>
      </c>
      <c r="F231" s="1">
        <v>3</v>
      </c>
      <c r="G231" s="1">
        <v>0</v>
      </c>
      <c r="H231" s="2">
        <v>1.0003</v>
      </c>
      <c r="I231" s="2">
        <v>1.0599094447533561</v>
      </c>
      <c r="J231" s="6">
        <v>8832</v>
      </c>
      <c r="K231" s="7">
        <v>5.9895833333333339</v>
      </c>
      <c r="L231" s="7">
        <v>2.1965579710144927</v>
      </c>
      <c r="M231">
        <v>1.6</v>
      </c>
      <c r="O231" s="7"/>
    </row>
    <row r="232" spans="1:15" x14ac:dyDescent="0.25">
      <c r="A232" t="s">
        <v>56</v>
      </c>
      <c r="B232" s="1" t="s">
        <v>11</v>
      </c>
      <c r="C232" s="1">
        <v>2017</v>
      </c>
      <c r="D232" s="1">
        <v>3</v>
      </c>
      <c r="E232" s="1">
        <v>3</v>
      </c>
      <c r="F232" s="1">
        <v>3</v>
      </c>
      <c r="G232" s="1">
        <v>0</v>
      </c>
      <c r="H232" s="2">
        <v>1</v>
      </c>
      <c r="I232" s="2">
        <v>1.1795517688460826</v>
      </c>
      <c r="J232" s="3">
        <v>8923</v>
      </c>
      <c r="K232">
        <v>5.9895833333333339</v>
      </c>
      <c r="L232">
        <v>2.1965579710144927</v>
      </c>
      <c r="M232">
        <v>1.6</v>
      </c>
    </row>
    <row r="233" spans="1:15" x14ac:dyDescent="0.25">
      <c r="A233" s="8" t="s">
        <v>56</v>
      </c>
      <c r="B233" s="1" t="s">
        <v>11</v>
      </c>
      <c r="C233" s="1">
        <v>2018</v>
      </c>
      <c r="D233" s="1">
        <v>3</v>
      </c>
      <c r="E233" s="1">
        <v>3</v>
      </c>
      <c r="F233" s="1">
        <v>3</v>
      </c>
      <c r="G233" s="1">
        <v>0</v>
      </c>
      <c r="H233" s="2">
        <v>1</v>
      </c>
      <c r="I233" s="2">
        <v>1.083949961212725</v>
      </c>
      <c r="J233" s="3">
        <v>8908</v>
      </c>
      <c r="K233">
        <v>5.9895833333333339</v>
      </c>
      <c r="L233">
        <v>2.1965579710144927</v>
      </c>
      <c r="M233">
        <v>1.6</v>
      </c>
    </row>
    <row r="234" spans="1:15" x14ac:dyDescent="0.25">
      <c r="A234" s="8" t="s">
        <v>57</v>
      </c>
      <c r="B234" s="1" t="s">
        <v>11</v>
      </c>
      <c r="C234" s="1">
        <v>2014</v>
      </c>
      <c r="D234" s="1">
        <v>2</v>
      </c>
      <c r="E234" s="1">
        <v>3</v>
      </c>
      <c r="F234" s="1">
        <v>2.5</v>
      </c>
      <c r="G234" s="1">
        <v>1</v>
      </c>
      <c r="H234" s="2">
        <v>1.1923346576302873</v>
      </c>
      <c r="I234" s="2">
        <v>1.0331820509650873</v>
      </c>
      <c r="J234" s="3">
        <v>29486</v>
      </c>
      <c r="K234">
        <v>4.0090516076736016</v>
      </c>
      <c r="L234">
        <v>4.7757362874898677</v>
      </c>
      <c r="M234">
        <v>9.1999999999999993</v>
      </c>
    </row>
    <row r="235" spans="1:15" x14ac:dyDescent="0.25">
      <c r="A235" s="8" t="s">
        <v>57</v>
      </c>
      <c r="B235" s="1" t="s">
        <v>11</v>
      </c>
      <c r="C235" s="1">
        <v>2015</v>
      </c>
      <c r="D235" s="1">
        <v>2</v>
      </c>
      <c r="E235" s="1">
        <v>3</v>
      </c>
      <c r="F235" s="1">
        <v>2.5</v>
      </c>
      <c r="G235" s="1">
        <v>1</v>
      </c>
      <c r="H235" s="2">
        <v>0.89190000000000003</v>
      </c>
      <c r="I235" s="2">
        <v>1.1165858121989538</v>
      </c>
      <c r="J235" s="3">
        <v>29815</v>
      </c>
      <c r="K235">
        <v>4.0090516076736016</v>
      </c>
      <c r="L235">
        <v>4.7757362874898677</v>
      </c>
      <c r="M235">
        <v>9.3000000000000007</v>
      </c>
    </row>
    <row r="236" spans="1:15" x14ac:dyDescent="0.25">
      <c r="A236" t="s">
        <v>57</v>
      </c>
      <c r="B236" s="1" t="s">
        <v>11</v>
      </c>
      <c r="C236" s="1">
        <v>2016</v>
      </c>
      <c r="D236" s="1">
        <v>2</v>
      </c>
      <c r="E236" s="1">
        <v>3</v>
      </c>
      <c r="F236" s="1">
        <v>2.5</v>
      </c>
      <c r="G236" s="1">
        <v>1</v>
      </c>
      <c r="H236" s="2">
        <v>0.98040000000000005</v>
      </c>
      <c r="I236" s="2">
        <v>1.1552862282141734</v>
      </c>
      <c r="J236" s="6">
        <v>29608</v>
      </c>
      <c r="K236" s="7">
        <v>4.0090516076736016</v>
      </c>
      <c r="L236" s="7">
        <v>4.7757362874898677</v>
      </c>
      <c r="M236">
        <v>9.4</v>
      </c>
      <c r="O236" s="7"/>
    </row>
    <row r="237" spans="1:15" x14ac:dyDescent="0.25">
      <c r="A237" t="s">
        <v>57</v>
      </c>
      <c r="B237" s="1" t="s">
        <v>11</v>
      </c>
      <c r="C237" s="1">
        <v>2017</v>
      </c>
      <c r="D237" s="1">
        <v>2</v>
      </c>
      <c r="E237" s="1">
        <v>3</v>
      </c>
      <c r="F237" s="1">
        <v>2.5</v>
      </c>
      <c r="G237" s="1">
        <v>1</v>
      </c>
      <c r="H237" s="2">
        <v>0.99919999999999998</v>
      </c>
      <c r="I237" s="2">
        <v>1.3010212197372188</v>
      </c>
      <c r="J237" s="3">
        <v>30575</v>
      </c>
      <c r="K237">
        <v>4.0090516076736016</v>
      </c>
      <c r="L237">
        <v>4.7757362874898677</v>
      </c>
      <c r="M237">
        <v>9.5</v>
      </c>
    </row>
    <row r="238" spans="1:15" x14ac:dyDescent="0.25">
      <c r="A238" s="8" t="s">
        <v>57</v>
      </c>
      <c r="B238" s="1" t="s">
        <v>11</v>
      </c>
      <c r="C238" s="1">
        <v>2018</v>
      </c>
      <c r="D238" s="1">
        <v>2</v>
      </c>
      <c r="E238" s="1">
        <v>3</v>
      </c>
      <c r="F238" s="1">
        <v>2.5</v>
      </c>
      <c r="G238" s="1">
        <v>1</v>
      </c>
      <c r="H238" s="2">
        <v>0.9647</v>
      </c>
      <c r="I238" s="2">
        <v>1.1045087982869675</v>
      </c>
      <c r="J238" s="3">
        <v>30852</v>
      </c>
      <c r="K238">
        <v>4.0090516076736016</v>
      </c>
      <c r="L238">
        <v>4.7757362874898677</v>
      </c>
      <c r="M238">
        <v>9.6</v>
      </c>
    </row>
    <row r="239" spans="1:15" x14ac:dyDescent="0.25">
      <c r="A239" s="8" t="s">
        <v>58</v>
      </c>
      <c r="B239" s="1" t="s">
        <v>11</v>
      </c>
      <c r="C239" s="1">
        <v>2014</v>
      </c>
      <c r="D239" s="1">
        <v>2</v>
      </c>
      <c r="E239" s="1">
        <v>3</v>
      </c>
      <c r="F239" s="1">
        <v>2.5</v>
      </c>
      <c r="G239" s="1">
        <v>1</v>
      </c>
      <c r="H239" s="2">
        <v>1.0427743353987609</v>
      </c>
      <c r="I239" s="2">
        <v>0.94376899696048633</v>
      </c>
      <c r="J239" s="3">
        <v>10318</v>
      </c>
      <c r="K239">
        <v>3.2152167616105052</v>
      </c>
      <c r="L239">
        <v>1.8827845901322777</v>
      </c>
      <c r="M239">
        <v>1.8</v>
      </c>
    </row>
    <row r="240" spans="1:15" x14ac:dyDescent="0.25">
      <c r="A240" s="8" t="s">
        <v>58</v>
      </c>
      <c r="B240" s="1" t="s">
        <v>11</v>
      </c>
      <c r="C240" s="1">
        <v>2015</v>
      </c>
      <c r="D240" s="1">
        <v>2</v>
      </c>
      <c r="E240" s="1">
        <v>3</v>
      </c>
      <c r="F240" s="1">
        <v>2.5</v>
      </c>
      <c r="G240" s="1">
        <v>1</v>
      </c>
      <c r="H240" s="2">
        <v>0.98609999999999998</v>
      </c>
      <c r="I240" s="2">
        <v>1.0481786991751223</v>
      </c>
      <c r="J240" s="3">
        <v>10441</v>
      </c>
      <c r="K240">
        <v>3.2152167616105052</v>
      </c>
      <c r="L240">
        <v>1.8827845901322777</v>
      </c>
      <c r="M240">
        <v>1.8</v>
      </c>
    </row>
    <row r="241" spans="1:15" x14ac:dyDescent="0.25">
      <c r="A241" t="s">
        <v>58</v>
      </c>
      <c r="B241" s="1" t="s">
        <v>11</v>
      </c>
      <c r="C241" s="1">
        <v>2016</v>
      </c>
      <c r="D241" s="1">
        <v>2</v>
      </c>
      <c r="E241" s="1">
        <v>3</v>
      </c>
      <c r="F241" s="1">
        <v>2.5</v>
      </c>
      <c r="G241" s="1">
        <v>1</v>
      </c>
      <c r="H241" s="2">
        <v>1.006</v>
      </c>
      <c r="I241" s="2">
        <v>1.2341446082785574</v>
      </c>
      <c r="J241" s="6">
        <v>10357</v>
      </c>
      <c r="K241" s="7">
        <v>3.2152167616105052</v>
      </c>
      <c r="L241" s="7">
        <v>1.8827845901322777</v>
      </c>
      <c r="M241">
        <v>1.8</v>
      </c>
      <c r="O241" s="7"/>
    </row>
    <row r="242" spans="1:15" x14ac:dyDescent="0.25">
      <c r="A242" t="s">
        <v>58</v>
      </c>
      <c r="B242" s="1" t="s">
        <v>11</v>
      </c>
      <c r="C242" s="1">
        <v>2017</v>
      </c>
      <c r="D242" s="1">
        <v>2</v>
      </c>
      <c r="E242" s="1">
        <v>3</v>
      </c>
      <c r="F242" s="1">
        <v>2.5</v>
      </c>
      <c r="G242" s="1">
        <v>1</v>
      </c>
      <c r="H242" s="2">
        <v>1.4499000000000002</v>
      </c>
      <c r="I242" s="2">
        <v>1.2501546576368312</v>
      </c>
      <c r="J242" s="3">
        <v>10608</v>
      </c>
      <c r="K242">
        <v>3.2152167616105052</v>
      </c>
      <c r="L242">
        <v>1.8827845901322777</v>
      </c>
      <c r="M242">
        <v>1.8</v>
      </c>
    </row>
    <row r="243" spans="1:15" x14ac:dyDescent="0.25">
      <c r="A243" s="8" t="s">
        <v>58</v>
      </c>
      <c r="B243" s="1" t="s">
        <v>11</v>
      </c>
      <c r="C243" s="1">
        <v>2018</v>
      </c>
      <c r="D243" s="1">
        <v>2</v>
      </c>
      <c r="E243" s="1">
        <v>3</v>
      </c>
      <c r="F243" s="1">
        <v>2.5</v>
      </c>
      <c r="G243" s="1">
        <v>1</v>
      </c>
      <c r="H243" s="2">
        <v>0.99580000000000002</v>
      </c>
      <c r="I243" s="2">
        <v>1.08788993421518</v>
      </c>
      <c r="J243" s="3">
        <v>10686</v>
      </c>
      <c r="K243">
        <v>3.2152167616105052</v>
      </c>
      <c r="L243">
        <v>1.8827845901322777</v>
      </c>
      <c r="M243">
        <v>1.9</v>
      </c>
    </row>
    <row r="244" spans="1:15" x14ac:dyDescent="0.25">
      <c r="A244" s="8" t="s">
        <v>59</v>
      </c>
      <c r="B244" s="1" t="s">
        <v>11</v>
      </c>
      <c r="C244" s="1">
        <v>2014</v>
      </c>
      <c r="D244" s="1">
        <v>3</v>
      </c>
      <c r="E244" s="1">
        <v>3</v>
      </c>
      <c r="F244" s="1">
        <v>3</v>
      </c>
      <c r="G244" s="1">
        <v>0</v>
      </c>
      <c r="H244" s="2">
        <v>0.86975116640746497</v>
      </c>
      <c r="I244" s="2">
        <v>1.1835850781352022</v>
      </c>
      <c r="J244" s="3">
        <v>25942</v>
      </c>
      <c r="K244">
        <v>4.8059293934074505</v>
      </c>
      <c r="L244">
        <v>20.947922761849032</v>
      </c>
      <c r="M244">
        <v>15.8</v>
      </c>
    </row>
    <row r="245" spans="1:15" x14ac:dyDescent="0.25">
      <c r="A245" s="8" t="s">
        <v>59</v>
      </c>
      <c r="B245" s="1" t="s">
        <v>11</v>
      </c>
      <c r="C245" s="1">
        <v>2015</v>
      </c>
      <c r="D245" s="1">
        <v>3</v>
      </c>
      <c r="E245" s="1">
        <v>3</v>
      </c>
      <c r="F245" s="1">
        <v>3</v>
      </c>
      <c r="G245" s="1">
        <v>0</v>
      </c>
      <c r="H245" s="2">
        <v>1.0059</v>
      </c>
      <c r="I245" s="2">
        <v>1.1882647156084656</v>
      </c>
      <c r="J245" s="3">
        <v>26171</v>
      </c>
      <c r="K245">
        <v>4.8059293934074505</v>
      </c>
      <c r="L245">
        <v>20.947922761849032</v>
      </c>
      <c r="M245">
        <v>16</v>
      </c>
    </row>
    <row r="246" spans="1:15" x14ac:dyDescent="0.25">
      <c r="A246" t="s">
        <v>59</v>
      </c>
      <c r="B246" s="1" t="s">
        <v>11</v>
      </c>
      <c r="C246" s="1">
        <v>2016</v>
      </c>
      <c r="D246" s="1">
        <v>3</v>
      </c>
      <c r="E246" s="1">
        <v>3</v>
      </c>
      <c r="F246" s="1">
        <v>3</v>
      </c>
      <c r="G246" s="1">
        <v>0</v>
      </c>
      <c r="H246" s="2">
        <v>1</v>
      </c>
      <c r="I246" s="2">
        <v>1.3218290403835216</v>
      </c>
      <c r="J246" s="6">
        <v>25635</v>
      </c>
      <c r="K246" s="7">
        <v>4.8059293934074505</v>
      </c>
      <c r="L246" s="7">
        <v>20.947922761849032</v>
      </c>
      <c r="M246">
        <v>16.100000000000001</v>
      </c>
      <c r="O246" s="7"/>
    </row>
    <row r="247" spans="1:15" x14ac:dyDescent="0.25">
      <c r="A247" t="s">
        <v>59</v>
      </c>
      <c r="B247" s="1" t="s">
        <v>11</v>
      </c>
      <c r="C247" s="1">
        <v>2017</v>
      </c>
      <c r="D247" s="1">
        <v>3</v>
      </c>
      <c r="E247" s="1">
        <v>3</v>
      </c>
      <c r="F247" s="1">
        <v>3</v>
      </c>
      <c r="G247" s="1">
        <v>0</v>
      </c>
      <c r="H247" s="2">
        <v>1</v>
      </c>
      <c r="I247" s="2">
        <v>1.2763668359796825</v>
      </c>
      <c r="J247" s="3">
        <v>26608</v>
      </c>
      <c r="K247">
        <v>4.8059293934074505</v>
      </c>
      <c r="L247">
        <v>20.947922761849032</v>
      </c>
      <c r="M247">
        <v>16.2</v>
      </c>
    </row>
    <row r="248" spans="1:15" x14ac:dyDescent="0.25">
      <c r="A248" s="8" t="s">
        <v>59</v>
      </c>
      <c r="B248" s="1" t="s">
        <v>11</v>
      </c>
      <c r="C248" s="1">
        <v>2018</v>
      </c>
      <c r="D248" s="1">
        <v>3</v>
      </c>
      <c r="E248" s="1">
        <v>3</v>
      </c>
      <c r="F248" s="1">
        <v>3</v>
      </c>
      <c r="G248" s="1">
        <v>0</v>
      </c>
      <c r="H248" s="2">
        <v>1</v>
      </c>
      <c r="I248" s="2">
        <v>1.1192104676232251</v>
      </c>
      <c r="J248" s="3">
        <v>26882</v>
      </c>
      <c r="K248">
        <v>4.8059293934074505</v>
      </c>
      <c r="L248">
        <v>20.947922761849032</v>
      </c>
      <c r="M248">
        <v>16.399999999999999</v>
      </c>
    </row>
    <row r="249" spans="1:15" x14ac:dyDescent="0.25">
      <c r="A249" s="8" t="s">
        <v>60</v>
      </c>
      <c r="B249" s="1" t="s">
        <v>11</v>
      </c>
      <c r="C249" s="1">
        <v>2014</v>
      </c>
      <c r="D249" s="1">
        <v>3</v>
      </c>
      <c r="E249" s="1">
        <v>3</v>
      </c>
      <c r="F249" s="1">
        <v>3</v>
      </c>
      <c r="G249" s="1">
        <v>0</v>
      </c>
      <c r="H249" s="2">
        <v>1.0496975447752344</v>
      </c>
      <c r="I249" s="2">
        <v>1.1644444444444444</v>
      </c>
      <c r="J249" s="3">
        <v>12468</v>
      </c>
      <c r="K249">
        <v>12.796790568200425</v>
      </c>
      <c r="L249">
        <v>2.3579498935647614</v>
      </c>
      <c r="M249">
        <v>2.5</v>
      </c>
    </row>
    <row r="250" spans="1:15" x14ac:dyDescent="0.25">
      <c r="A250" s="8" t="s">
        <v>60</v>
      </c>
      <c r="B250" s="1" t="s">
        <v>11</v>
      </c>
      <c r="C250" s="1">
        <v>2015</v>
      </c>
      <c r="D250" s="1">
        <v>3</v>
      </c>
      <c r="E250" s="1">
        <v>3</v>
      </c>
      <c r="F250" s="1">
        <v>3</v>
      </c>
      <c r="G250" s="1">
        <v>0</v>
      </c>
      <c r="H250" s="2">
        <v>0.9890000000000001</v>
      </c>
      <c r="I250" s="2">
        <v>1.1895214017958329</v>
      </c>
      <c r="J250" s="3">
        <v>12447</v>
      </c>
      <c r="K250">
        <v>12.796790568200425</v>
      </c>
      <c r="L250">
        <v>2.3579498935647614</v>
      </c>
      <c r="M250">
        <v>2.5</v>
      </c>
    </row>
    <row r="251" spans="1:15" x14ac:dyDescent="0.25">
      <c r="A251" t="s">
        <v>60</v>
      </c>
      <c r="B251" s="1" t="s">
        <v>11</v>
      </c>
      <c r="C251" s="1">
        <v>2016</v>
      </c>
      <c r="D251" s="1">
        <v>3</v>
      </c>
      <c r="E251" s="1">
        <v>3</v>
      </c>
      <c r="F251" s="1">
        <v>3</v>
      </c>
      <c r="G251" s="1">
        <v>0</v>
      </c>
      <c r="H251" s="2">
        <v>1.0719000000000001</v>
      </c>
      <c r="I251" s="2">
        <v>1.4167033087831153</v>
      </c>
      <c r="J251" s="6">
        <v>12214</v>
      </c>
      <c r="K251" s="7">
        <v>12.796790568200425</v>
      </c>
      <c r="L251" s="7">
        <v>2.3579498935647614</v>
      </c>
      <c r="M251">
        <v>2.5</v>
      </c>
      <c r="O251" s="7"/>
    </row>
    <row r="252" spans="1:15" x14ac:dyDescent="0.25">
      <c r="A252" t="s">
        <v>60</v>
      </c>
      <c r="B252" s="1" t="s">
        <v>11</v>
      </c>
      <c r="C252" s="1">
        <v>2017</v>
      </c>
      <c r="D252" s="1">
        <v>3</v>
      </c>
      <c r="E252" s="1">
        <v>3</v>
      </c>
      <c r="F252" s="1">
        <v>3</v>
      </c>
      <c r="G252" s="1">
        <v>0</v>
      </c>
      <c r="H252" s="2">
        <v>1.2023999999999999</v>
      </c>
      <c r="I252" s="2">
        <v>1.3133869706112415</v>
      </c>
      <c r="J252" s="3">
        <v>12587</v>
      </c>
      <c r="K252">
        <v>12.796790568200425</v>
      </c>
      <c r="L252">
        <v>2.3579498935647614</v>
      </c>
      <c r="M252">
        <v>2.5</v>
      </c>
    </row>
    <row r="253" spans="1:15" x14ac:dyDescent="0.25">
      <c r="A253" s="8" t="s">
        <v>60</v>
      </c>
      <c r="B253" s="1" t="s">
        <v>11</v>
      </c>
      <c r="C253" s="1">
        <v>2018</v>
      </c>
      <c r="D253" s="1">
        <v>3</v>
      </c>
      <c r="E253" s="1">
        <v>3</v>
      </c>
      <c r="F253" s="1">
        <v>3</v>
      </c>
      <c r="G253" s="1">
        <v>0</v>
      </c>
      <c r="H253" s="2">
        <v>1.1195999999999999</v>
      </c>
      <c r="I253" s="2">
        <v>1.1766063139607481</v>
      </c>
      <c r="J253" s="3">
        <v>12661</v>
      </c>
      <c r="K253">
        <v>12.796790568200425</v>
      </c>
      <c r="L253">
        <v>2.3579498935647614</v>
      </c>
      <c r="M253">
        <v>2.5</v>
      </c>
    </row>
    <row r="254" spans="1:15" x14ac:dyDescent="0.25">
      <c r="A254" s="8" t="s">
        <v>61</v>
      </c>
      <c r="B254" s="1" t="s">
        <v>11</v>
      </c>
      <c r="C254" s="1">
        <v>2014</v>
      </c>
      <c r="D254" s="1">
        <v>3</v>
      </c>
      <c r="E254" s="1">
        <v>3</v>
      </c>
      <c r="F254" s="1">
        <v>3</v>
      </c>
      <c r="G254" s="1">
        <v>0</v>
      </c>
      <c r="H254" s="2">
        <v>0.95979247730220496</v>
      </c>
      <c r="I254" s="2">
        <v>0.75640651828813943</v>
      </c>
      <c r="J254" s="3">
        <v>5250</v>
      </c>
      <c r="K254">
        <v>5.6327307326355855</v>
      </c>
      <c r="L254">
        <v>0.8753568030447193</v>
      </c>
      <c r="M254">
        <v>0.6</v>
      </c>
    </row>
    <row r="255" spans="1:15" x14ac:dyDescent="0.25">
      <c r="A255" s="8" t="s">
        <v>61</v>
      </c>
      <c r="B255" s="1" t="s">
        <v>11</v>
      </c>
      <c r="C255" s="1">
        <v>2015</v>
      </c>
      <c r="D255" s="1">
        <v>3</v>
      </c>
      <c r="E255" s="1">
        <v>3</v>
      </c>
      <c r="F255" s="1">
        <v>3</v>
      </c>
      <c r="G255" s="1">
        <v>0</v>
      </c>
      <c r="H255" s="5">
        <v>0.93</v>
      </c>
      <c r="I255" s="2">
        <f>1/1.259</f>
        <v>0.79428117553613986</v>
      </c>
      <c r="J255" s="3">
        <v>5302</v>
      </c>
      <c r="K255">
        <v>5.6327307326355855</v>
      </c>
      <c r="L255">
        <v>0.8753568030447193</v>
      </c>
      <c r="M255">
        <v>0.6</v>
      </c>
    </row>
    <row r="256" spans="1:15" x14ac:dyDescent="0.25">
      <c r="A256" t="s">
        <v>61</v>
      </c>
      <c r="B256" s="1" t="s">
        <v>11</v>
      </c>
      <c r="C256" s="1">
        <v>2016</v>
      </c>
      <c r="D256" s="1">
        <v>3</v>
      </c>
      <c r="E256" s="1">
        <v>3</v>
      </c>
      <c r="F256" s="1">
        <v>3</v>
      </c>
      <c r="G256" s="1">
        <v>0</v>
      </c>
      <c r="H256" s="2">
        <v>1</v>
      </c>
      <c r="I256" s="2">
        <v>0.80229395103620404</v>
      </c>
      <c r="J256" s="6">
        <v>5255</v>
      </c>
      <c r="K256" s="7">
        <v>5.6327307326355855</v>
      </c>
      <c r="L256" s="7">
        <v>0.8753568030447193</v>
      </c>
      <c r="M256">
        <v>0.6</v>
      </c>
      <c r="O256" s="7"/>
    </row>
    <row r="257" spans="1:15" x14ac:dyDescent="0.25">
      <c r="A257" t="s">
        <v>61</v>
      </c>
      <c r="B257" s="1" t="s">
        <v>11</v>
      </c>
      <c r="C257" s="1">
        <v>2017</v>
      </c>
      <c r="D257" s="1">
        <v>3</v>
      </c>
      <c r="E257" s="1">
        <v>3</v>
      </c>
      <c r="F257" s="1">
        <v>3</v>
      </c>
      <c r="G257" s="1">
        <v>0</v>
      </c>
      <c r="H257" s="2">
        <v>1</v>
      </c>
      <c r="I257" s="2">
        <v>1.1255862428348098</v>
      </c>
      <c r="J257" s="3">
        <v>5318</v>
      </c>
      <c r="K257">
        <v>5.6327307326355855</v>
      </c>
      <c r="L257">
        <v>0.8753568030447193</v>
      </c>
      <c r="M257">
        <v>0.6</v>
      </c>
    </row>
    <row r="258" spans="1:15" x14ac:dyDescent="0.25">
      <c r="A258" s="8" t="s">
        <v>61</v>
      </c>
      <c r="B258" s="1" t="s">
        <v>11</v>
      </c>
      <c r="C258" s="1">
        <v>2018</v>
      </c>
      <c r="D258" s="1">
        <v>3</v>
      </c>
      <c r="E258" s="1">
        <v>3</v>
      </c>
      <c r="F258" s="1">
        <v>3</v>
      </c>
      <c r="G258" s="1">
        <v>0</v>
      </c>
      <c r="H258" s="2">
        <v>1</v>
      </c>
      <c r="I258" s="2">
        <v>1.0011209924519842</v>
      </c>
      <c r="J258" s="3">
        <v>5349</v>
      </c>
      <c r="K258">
        <v>5.6327307326355855</v>
      </c>
      <c r="L258">
        <v>0.8753568030447193</v>
      </c>
      <c r="M258">
        <v>0.6</v>
      </c>
    </row>
    <row r="259" spans="1:15" x14ac:dyDescent="0.25">
      <c r="A259" s="8" t="s">
        <v>62</v>
      </c>
      <c r="B259" s="1" t="s">
        <v>11</v>
      </c>
      <c r="C259" s="1">
        <v>2014</v>
      </c>
      <c r="D259" s="9">
        <v>1</v>
      </c>
      <c r="E259" s="9">
        <v>3</v>
      </c>
      <c r="F259" s="9">
        <v>2</v>
      </c>
      <c r="G259" s="1">
        <v>2</v>
      </c>
      <c r="H259" s="2">
        <v>1.8297344616282463</v>
      </c>
      <c r="I259" s="2">
        <v>1.2142146535580525</v>
      </c>
      <c r="J259" s="3">
        <v>65503</v>
      </c>
      <c r="K259">
        <v>3.7017541143502966</v>
      </c>
      <c r="L259">
        <v>5.9590345404158471</v>
      </c>
      <c r="M259">
        <v>23.6</v>
      </c>
    </row>
    <row r="260" spans="1:15" x14ac:dyDescent="0.25">
      <c r="A260" s="8" t="s">
        <v>62</v>
      </c>
      <c r="B260" s="1" t="s">
        <v>11</v>
      </c>
      <c r="C260" s="1">
        <v>2015</v>
      </c>
      <c r="D260" s="9">
        <v>1</v>
      </c>
      <c r="E260" s="9">
        <v>3</v>
      </c>
      <c r="F260" s="9">
        <v>2</v>
      </c>
      <c r="G260" s="1">
        <v>2</v>
      </c>
      <c r="H260" s="2">
        <v>0.86260000000000003</v>
      </c>
      <c r="I260" s="2">
        <v>1.5543754631176718</v>
      </c>
      <c r="J260" s="3">
        <v>65890</v>
      </c>
      <c r="K260">
        <v>3.7017541143502966</v>
      </c>
      <c r="L260">
        <v>5.9590345404158471</v>
      </c>
      <c r="M260">
        <v>23.7</v>
      </c>
    </row>
    <row r="261" spans="1:15" x14ac:dyDescent="0.25">
      <c r="A261" s="10" t="s">
        <v>62</v>
      </c>
      <c r="B261" s="1" t="s">
        <v>11</v>
      </c>
      <c r="C261" s="1">
        <v>2016</v>
      </c>
      <c r="D261" s="9">
        <v>1</v>
      </c>
      <c r="E261" s="9">
        <v>3</v>
      </c>
      <c r="F261" s="9">
        <v>2</v>
      </c>
      <c r="G261" s="1">
        <v>2</v>
      </c>
      <c r="H261" s="2">
        <v>0.80689999999999995</v>
      </c>
      <c r="I261" s="2">
        <v>1.0790838699977447</v>
      </c>
      <c r="J261" s="6">
        <v>64591</v>
      </c>
      <c r="K261" s="7">
        <v>3.7017541143502966</v>
      </c>
      <c r="L261" s="7">
        <v>5.9590345404158471</v>
      </c>
      <c r="M261">
        <v>23.9</v>
      </c>
      <c r="O261" s="7"/>
    </row>
    <row r="262" spans="1:15" x14ac:dyDescent="0.25">
      <c r="A262" s="10" t="s">
        <v>62</v>
      </c>
      <c r="B262" s="1" t="s">
        <v>11</v>
      </c>
      <c r="C262" s="1">
        <v>2017</v>
      </c>
      <c r="D262" s="9">
        <v>1</v>
      </c>
      <c r="E262" s="9">
        <v>3</v>
      </c>
      <c r="F262" s="9">
        <v>2</v>
      </c>
      <c r="G262" s="1">
        <v>2</v>
      </c>
      <c r="H262" s="2">
        <v>0.95209999999999995</v>
      </c>
      <c r="I262" s="2">
        <v>1.2330527364749693</v>
      </c>
      <c r="J262" s="3">
        <v>66669</v>
      </c>
      <c r="K262">
        <v>3.7017541143502966</v>
      </c>
      <c r="L262">
        <v>5.9590345404158471</v>
      </c>
      <c r="M262">
        <v>24</v>
      </c>
    </row>
    <row r="263" spans="1:15" x14ac:dyDescent="0.25">
      <c r="A263" s="8" t="s">
        <v>62</v>
      </c>
      <c r="B263" s="1" t="s">
        <v>11</v>
      </c>
      <c r="C263" s="1">
        <v>2018</v>
      </c>
      <c r="D263" s="9">
        <v>1</v>
      </c>
      <c r="E263" s="9">
        <v>3</v>
      </c>
      <c r="F263" s="9">
        <v>2</v>
      </c>
      <c r="G263" s="1">
        <v>2</v>
      </c>
      <c r="H263" s="2">
        <v>0.85489999999999999</v>
      </c>
      <c r="I263" s="2">
        <v>0.9618261304679887</v>
      </c>
      <c r="J263" s="3">
        <v>67083</v>
      </c>
      <c r="K263">
        <v>3.7017541143502966</v>
      </c>
      <c r="L263">
        <v>5.9590345404158471</v>
      </c>
      <c r="M263">
        <v>24.2</v>
      </c>
    </row>
    <row r="264" spans="1:15" x14ac:dyDescent="0.25">
      <c r="A264" s="8" t="s">
        <v>63</v>
      </c>
      <c r="B264" s="1" t="s">
        <v>11</v>
      </c>
      <c r="C264" s="1">
        <v>2014</v>
      </c>
      <c r="D264" s="1">
        <v>3</v>
      </c>
      <c r="E264" s="1">
        <v>4</v>
      </c>
      <c r="F264" s="1">
        <v>3.5</v>
      </c>
      <c r="G264" s="1">
        <v>1</v>
      </c>
      <c r="H264" s="2">
        <v>1.3966318234610917</v>
      </c>
      <c r="I264" s="2">
        <v>0.9311744712990937</v>
      </c>
      <c r="J264" s="3">
        <v>3005</v>
      </c>
      <c r="K264">
        <v>6.0101867572156191</v>
      </c>
      <c r="L264">
        <v>3.3616298811544993</v>
      </c>
      <c r="M264">
        <v>0.3</v>
      </c>
    </row>
    <row r="265" spans="1:15" x14ac:dyDescent="0.25">
      <c r="A265" s="8" t="s">
        <v>63</v>
      </c>
      <c r="B265" s="1" t="s">
        <v>11</v>
      </c>
      <c r="C265" s="1">
        <v>2015</v>
      </c>
      <c r="D265" s="1">
        <v>3</v>
      </c>
      <c r="E265" s="1">
        <v>4</v>
      </c>
      <c r="F265" s="1">
        <v>3.5</v>
      </c>
      <c r="G265" s="1">
        <v>1</v>
      </c>
      <c r="H265" s="2">
        <v>0.93629999999999991</v>
      </c>
      <c r="I265" s="2">
        <v>1.005631159080244</v>
      </c>
      <c r="J265" s="3">
        <v>2994</v>
      </c>
      <c r="K265">
        <v>6.0101867572156191</v>
      </c>
      <c r="L265">
        <v>3.3616298811544993</v>
      </c>
      <c r="M265">
        <v>0.3</v>
      </c>
    </row>
    <row r="266" spans="1:15" x14ac:dyDescent="0.25">
      <c r="A266" t="s">
        <v>63</v>
      </c>
      <c r="B266" s="1" t="s">
        <v>11</v>
      </c>
      <c r="C266" s="1">
        <v>2016</v>
      </c>
      <c r="D266" s="1">
        <v>3</v>
      </c>
      <c r="E266" s="1">
        <v>4</v>
      </c>
      <c r="F266" s="1">
        <v>3.5</v>
      </c>
      <c r="G266" s="1">
        <v>1</v>
      </c>
      <c r="H266" s="2">
        <v>0.93879999999999997</v>
      </c>
      <c r="I266" s="2">
        <v>0.95187722188502555</v>
      </c>
      <c r="J266" s="6">
        <v>2945</v>
      </c>
      <c r="K266" s="7">
        <v>6.0101867572156191</v>
      </c>
      <c r="L266" s="7">
        <v>3.3616298811544993</v>
      </c>
      <c r="M266">
        <v>0.3</v>
      </c>
      <c r="O266" s="7"/>
    </row>
    <row r="267" spans="1:15" x14ac:dyDescent="0.25">
      <c r="A267" t="s">
        <v>63</v>
      </c>
      <c r="B267" s="1" t="s">
        <v>11</v>
      </c>
      <c r="C267" s="1">
        <v>2017</v>
      </c>
      <c r="D267" s="1">
        <v>3</v>
      </c>
      <c r="E267" s="1">
        <v>4</v>
      </c>
      <c r="F267" s="1">
        <v>3.5</v>
      </c>
      <c r="G267" s="1">
        <v>1</v>
      </c>
      <c r="H267" s="2">
        <v>0.72370000000000001</v>
      </c>
      <c r="I267" s="2">
        <v>1.1724167822468794</v>
      </c>
      <c r="J267" s="3">
        <v>2981</v>
      </c>
      <c r="K267">
        <v>6.0101867572156191</v>
      </c>
      <c r="L267">
        <v>3.3616298811544993</v>
      </c>
      <c r="M267">
        <v>0.3</v>
      </c>
    </row>
    <row r="268" spans="1:15" x14ac:dyDescent="0.25">
      <c r="A268" s="8" t="s">
        <v>63</v>
      </c>
      <c r="B268" s="1" t="s">
        <v>11</v>
      </c>
      <c r="C268" s="1">
        <v>2018</v>
      </c>
      <c r="D268" s="1">
        <v>3</v>
      </c>
      <c r="E268" s="1">
        <v>4</v>
      </c>
      <c r="F268" s="1">
        <v>3.5</v>
      </c>
      <c r="G268" s="1">
        <v>1</v>
      </c>
      <c r="H268" s="2">
        <v>0.69709999999999994</v>
      </c>
      <c r="I268" s="2">
        <v>1.0255246738513897</v>
      </c>
      <c r="J268" s="3">
        <v>2979</v>
      </c>
      <c r="K268">
        <v>6.0101867572156191</v>
      </c>
      <c r="L268">
        <v>3.3616298811544993</v>
      </c>
      <c r="M268">
        <v>0.3</v>
      </c>
    </row>
    <row r="269" spans="1:15" x14ac:dyDescent="0.25">
      <c r="A269" s="8" t="s">
        <v>64</v>
      </c>
      <c r="B269" s="1" t="s">
        <v>11</v>
      </c>
      <c r="C269" s="1">
        <v>2014</v>
      </c>
      <c r="D269" s="1">
        <v>1</v>
      </c>
      <c r="E269" s="1">
        <v>2</v>
      </c>
      <c r="F269" s="1">
        <v>1.5</v>
      </c>
      <c r="G269" s="1">
        <v>1</v>
      </c>
      <c r="H269" s="2">
        <v>0.51702895707447227</v>
      </c>
      <c r="I269" s="2">
        <v>1.9793937251164435</v>
      </c>
      <c r="J269" s="3">
        <v>155366</v>
      </c>
      <c r="K269">
        <v>0.5157622278893178</v>
      </c>
      <c r="L269">
        <v>31.88631608402282</v>
      </c>
      <c r="M269">
        <v>402.3</v>
      </c>
    </row>
    <row r="270" spans="1:15" x14ac:dyDescent="0.25">
      <c r="A270" s="8" t="s">
        <v>64</v>
      </c>
      <c r="B270" s="1" t="s">
        <v>11</v>
      </c>
      <c r="C270" s="1">
        <v>2015</v>
      </c>
      <c r="D270" s="1">
        <v>1</v>
      </c>
      <c r="E270" s="1">
        <v>2</v>
      </c>
      <c r="F270" s="1">
        <v>1.5</v>
      </c>
      <c r="G270" s="1">
        <v>1</v>
      </c>
      <c r="H270" s="2">
        <v>2.3149999999999999</v>
      </c>
      <c r="I270" s="2">
        <v>2.9039613953417147</v>
      </c>
      <c r="J270" s="3">
        <v>158941</v>
      </c>
      <c r="K270">
        <v>0.5157622278893178</v>
      </c>
      <c r="L270">
        <v>31.88631608402282</v>
      </c>
      <c r="M270">
        <v>411.6</v>
      </c>
    </row>
    <row r="271" spans="1:15" x14ac:dyDescent="0.25">
      <c r="A271" t="s">
        <v>64</v>
      </c>
      <c r="B271" s="1" t="s">
        <v>11</v>
      </c>
      <c r="C271" s="1">
        <v>2016</v>
      </c>
      <c r="D271" s="1">
        <v>1</v>
      </c>
      <c r="E271" s="1">
        <v>2</v>
      </c>
      <c r="F271" s="1">
        <v>1.5</v>
      </c>
      <c r="G271" s="1">
        <v>1</v>
      </c>
      <c r="H271" s="2">
        <v>1.3680000000000001</v>
      </c>
      <c r="I271" s="2">
        <v>2.1354421702085986</v>
      </c>
      <c r="J271" s="6">
        <v>157243</v>
      </c>
      <c r="K271" s="7">
        <v>0.5157622278893178</v>
      </c>
      <c r="L271" s="7">
        <v>31.88631608402282</v>
      </c>
      <c r="M271">
        <v>422</v>
      </c>
      <c r="O271" s="7"/>
    </row>
    <row r="272" spans="1:15" x14ac:dyDescent="0.25">
      <c r="A272" t="s">
        <v>64</v>
      </c>
      <c r="B272" s="1" t="s">
        <v>11</v>
      </c>
      <c r="C272" s="1">
        <v>2017</v>
      </c>
      <c r="D272" s="1">
        <v>1</v>
      </c>
      <c r="E272" s="1">
        <v>2</v>
      </c>
      <c r="F272" s="1">
        <v>1.5</v>
      </c>
      <c r="G272" s="1">
        <v>1</v>
      </c>
      <c r="H272" s="2">
        <v>1.5405000000000002</v>
      </c>
      <c r="I272" s="2">
        <v>1.9779491986416091</v>
      </c>
      <c r="J272" s="3">
        <v>167954</v>
      </c>
      <c r="K272">
        <v>0.5157622278893178</v>
      </c>
      <c r="L272">
        <v>31.88631608402282</v>
      </c>
      <c r="M272">
        <v>434.9</v>
      </c>
    </row>
    <row r="273" spans="1:15" x14ac:dyDescent="0.25">
      <c r="A273" s="8" t="s">
        <v>64</v>
      </c>
      <c r="B273" s="1" t="s">
        <v>11</v>
      </c>
      <c r="C273" s="1">
        <v>2018</v>
      </c>
      <c r="D273" s="1">
        <v>1</v>
      </c>
      <c r="E273" s="1">
        <v>2</v>
      </c>
      <c r="F273" s="1">
        <v>1.5</v>
      </c>
      <c r="G273" s="1">
        <v>1</v>
      </c>
      <c r="H273" s="2">
        <v>1.5243</v>
      </c>
      <c r="I273" s="2">
        <v>1.0417396098973051</v>
      </c>
      <c r="J273" s="3">
        <v>172473</v>
      </c>
      <c r="K273">
        <v>0.5157622278893178</v>
      </c>
      <c r="L273">
        <v>31.88631608402282</v>
      </c>
      <c r="M273">
        <v>446.6</v>
      </c>
    </row>
    <row r="274" spans="1:15" x14ac:dyDescent="0.25">
      <c r="A274" s="8" t="s">
        <v>65</v>
      </c>
      <c r="B274" s="1" t="s">
        <v>11</v>
      </c>
      <c r="C274" s="1">
        <v>2014</v>
      </c>
      <c r="D274" s="1">
        <v>2</v>
      </c>
      <c r="E274" s="1">
        <v>3</v>
      </c>
      <c r="F274" s="1">
        <v>2.5</v>
      </c>
      <c r="G274" s="1">
        <v>1</v>
      </c>
      <c r="J274" s="3">
        <v>18776</v>
      </c>
      <c r="K274">
        <v>4.4000000000000004</v>
      </c>
      <c r="L274">
        <v>3.4</v>
      </c>
      <c r="M274">
        <v>2.6</v>
      </c>
    </row>
    <row r="275" spans="1:15" x14ac:dyDescent="0.25">
      <c r="A275" s="8" t="s">
        <v>65</v>
      </c>
      <c r="B275" s="1" t="s">
        <v>11</v>
      </c>
      <c r="C275" s="1">
        <v>2015</v>
      </c>
      <c r="D275" s="1">
        <v>2</v>
      </c>
      <c r="E275" s="1">
        <v>3</v>
      </c>
      <c r="F275" s="1">
        <v>2.5</v>
      </c>
      <c r="G275" s="1">
        <v>1</v>
      </c>
      <c r="J275" s="3">
        <v>18760</v>
      </c>
      <c r="K275">
        <v>4.4000000000000004</v>
      </c>
      <c r="L275">
        <v>3.4</v>
      </c>
      <c r="M275">
        <v>2.6</v>
      </c>
    </row>
    <row r="276" spans="1:15" x14ac:dyDescent="0.25">
      <c r="A276" t="s">
        <v>65</v>
      </c>
      <c r="B276" s="1" t="s">
        <v>11</v>
      </c>
      <c r="C276" s="1">
        <v>2016</v>
      </c>
      <c r="D276" s="1">
        <v>2</v>
      </c>
      <c r="E276" s="1">
        <v>3</v>
      </c>
      <c r="F276" s="1">
        <v>2.5</v>
      </c>
      <c r="G276" s="1">
        <v>1</v>
      </c>
      <c r="J276" s="6">
        <v>18765</v>
      </c>
      <c r="K276" s="7">
        <v>4.4000000000000004</v>
      </c>
      <c r="L276" s="7">
        <v>3.4</v>
      </c>
      <c r="M276">
        <v>2.6</v>
      </c>
      <c r="O276" s="7"/>
    </row>
    <row r="277" spans="1:15" x14ac:dyDescent="0.25">
      <c r="A277" t="s">
        <v>65</v>
      </c>
      <c r="B277" s="1" t="s">
        <v>11</v>
      </c>
      <c r="C277" s="1">
        <v>2017</v>
      </c>
      <c r="D277" s="1">
        <v>2</v>
      </c>
      <c r="E277" s="1">
        <v>3</v>
      </c>
      <c r="F277" s="1">
        <v>2.5</v>
      </c>
      <c r="G277" s="1">
        <v>1</v>
      </c>
      <c r="H277" s="5">
        <v>0.97819999999999996</v>
      </c>
      <c r="I277" s="2">
        <f>1/1.0664</f>
        <v>0.93773443360840214</v>
      </c>
      <c r="J277" s="3">
        <v>18765</v>
      </c>
      <c r="K277">
        <v>4.4000000000000004</v>
      </c>
      <c r="L277">
        <v>3.4</v>
      </c>
      <c r="M277">
        <v>2.6</v>
      </c>
    </row>
    <row r="278" spans="1:15" x14ac:dyDescent="0.25">
      <c r="A278" s="8" t="s">
        <v>65</v>
      </c>
      <c r="B278" s="1" t="s">
        <v>11</v>
      </c>
      <c r="C278" s="1">
        <v>2018</v>
      </c>
      <c r="D278" s="1">
        <v>2</v>
      </c>
      <c r="E278" s="1">
        <v>3</v>
      </c>
      <c r="F278" s="1">
        <v>2.5</v>
      </c>
      <c r="G278" s="1">
        <v>1</v>
      </c>
      <c r="H278" s="2">
        <f>8087/8166</f>
        <v>0.99032574087680625</v>
      </c>
      <c r="I278" s="2">
        <f>53097/57741</f>
        <v>0.91957188133215562</v>
      </c>
      <c r="J278" s="3">
        <v>18782</v>
      </c>
      <c r="K278">
        <v>4.4000000000000004</v>
      </c>
      <c r="L278">
        <v>3.4</v>
      </c>
      <c r="M278">
        <v>2.6</v>
      </c>
    </row>
    <row r="279" spans="1:15" x14ac:dyDescent="0.25">
      <c r="A279" s="8" t="s">
        <v>66</v>
      </c>
      <c r="B279" s="1" t="s">
        <v>11</v>
      </c>
      <c r="C279" s="1">
        <v>2014</v>
      </c>
      <c r="D279" s="1">
        <v>1</v>
      </c>
      <c r="E279" s="1">
        <v>2</v>
      </c>
      <c r="F279" s="1">
        <v>1.5</v>
      </c>
      <c r="G279" s="1">
        <v>1</v>
      </c>
      <c r="H279" s="2">
        <v>1.26407789770061</v>
      </c>
      <c r="I279" s="2">
        <v>1.1645939417678548</v>
      </c>
      <c r="J279" s="3">
        <v>145262</v>
      </c>
      <c r="K279">
        <v>0.46542273562025993</v>
      </c>
      <c r="L279">
        <v>31.104818246814236</v>
      </c>
      <c r="M279">
        <v>319.2</v>
      </c>
    </row>
    <row r="280" spans="1:15" x14ac:dyDescent="0.25">
      <c r="A280" s="8" t="s">
        <v>66</v>
      </c>
      <c r="B280" s="1" t="s">
        <v>11</v>
      </c>
      <c r="C280" s="1">
        <v>2015</v>
      </c>
      <c r="D280" s="1">
        <v>1</v>
      </c>
      <c r="E280" s="1">
        <v>2</v>
      </c>
      <c r="F280" s="1">
        <v>1.5</v>
      </c>
      <c r="G280" s="1">
        <v>1</v>
      </c>
      <c r="H280" s="2">
        <v>0.82540000000000002</v>
      </c>
      <c r="I280" s="2">
        <v>1.4080538917187941</v>
      </c>
      <c r="J280" s="3">
        <v>146147</v>
      </c>
      <c r="K280">
        <v>0.46542273562025993</v>
      </c>
      <c r="L280">
        <v>31.104818246814236</v>
      </c>
      <c r="M280">
        <v>321.2</v>
      </c>
    </row>
    <row r="281" spans="1:15" x14ac:dyDescent="0.25">
      <c r="A281" t="s">
        <v>66</v>
      </c>
      <c r="B281" s="1" t="s">
        <v>11</v>
      </c>
      <c r="C281" s="1">
        <v>2016</v>
      </c>
      <c r="D281" s="1">
        <v>1</v>
      </c>
      <c r="E281" s="1">
        <v>2</v>
      </c>
      <c r="F281" s="1">
        <v>1.5</v>
      </c>
      <c r="G281" s="1">
        <v>1</v>
      </c>
      <c r="H281" s="2">
        <v>0.8909999999999999</v>
      </c>
      <c r="I281" s="2">
        <v>1.5716528334157838</v>
      </c>
      <c r="J281" s="6">
        <v>142666</v>
      </c>
      <c r="K281" s="7">
        <v>0.46542273562025993</v>
      </c>
      <c r="L281" s="7">
        <v>31.104818246814236</v>
      </c>
      <c r="M281">
        <v>323.89999999999998</v>
      </c>
      <c r="O281" s="7"/>
    </row>
    <row r="282" spans="1:15" x14ac:dyDescent="0.25">
      <c r="A282" t="s">
        <v>66</v>
      </c>
      <c r="B282" s="1" t="s">
        <v>11</v>
      </c>
      <c r="C282" s="1">
        <v>2017</v>
      </c>
      <c r="D282" s="1">
        <v>1</v>
      </c>
      <c r="E282" s="1">
        <v>2</v>
      </c>
      <c r="F282" s="1">
        <v>1.5</v>
      </c>
      <c r="G282" s="1">
        <v>1</v>
      </c>
      <c r="H282" s="2">
        <v>0.9405</v>
      </c>
      <c r="I282" s="2">
        <v>1.369460996978342</v>
      </c>
      <c r="J282" s="3">
        <v>149215</v>
      </c>
      <c r="K282">
        <v>0.46542273562025993</v>
      </c>
      <c r="L282">
        <v>31.104818246814236</v>
      </c>
      <c r="M282">
        <v>327.9</v>
      </c>
    </row>
    <row r="283" spans="1:15" x14ac:dyDescent="0.25">
      <c r="A283" s="8" t="s">
        <v>66</v>
      </c>
      <c r="B283" s="1" t="s">
        <v>11</v>
      </c>
      <c r="C283" s="1">
        <v>2018</v>
      </c>
      <c r="D283" s="1">
        <v>1</v>
      </c>
      <c r="E283" s="1">
        <v>2</v>
      </c>
      <c r="F283" s="1">
        <v>1.5</v>
      </c>
      <c r="G283" s="1">
        <v>1</v>
      </c>
      <c r="H283" s="2">
        <v>1.0046999999999999</v>
      </c>
      <c r="I283" s="2">
        <v>1.0555680915966739</v>
      </c>
      <c r="J283" s="3">
        <v>150752</v>
      </c>
      <c r="K283">
        <v>0.46542273562025993</v>
      </c>
      <c r="L283">
        <v>31.104818246814236</v>
      </c>
      <c r="M283">
        <v>331.3</v>
      </c>
    </row>
    <row r="284" spans="1:15" x14ac:dyDescent="0.25">
      <c r="A284" s="8" t="s">
        <v>67</v>
      </c>
      <c r="B284" s="1" t="s">
        <v>11</v>
      </c>
      <c r="C284" s="1">
        <v>2014</v>
      </c>
      <c r="D284" s="1">
        <v>1</v>
      </c>
      <c r="E284" s="1">
        <v>1</v>
      </c>
      <c r="F284" s="1">
        <v>1</v>
      </c>
      <c r="G284" s="1">
        <v>0</v>
      </c>
      <c r="H284" s="2">
        <v>0.88620283018867929</v>
      </c>
      <c r="I284" s="2">
        <v>1.0274685557322538</v>
      </c>
      <c r="J284" s="3">
        <v>14428</v>
      </c>
      <c r="K284">
        <v>0.56432602328737769</v>
      </c>
      <c r="L284">
        <v>19.458532752339451</v>
      </c>
      <c r="M284">
        <v>2523.6999999999998</v>
      </c>
    </row>
    <row r="285" spans="1:15" x14ac:dyDescent="0.25">
      <c r="A285" s="8" t="s">
        <v>67</v>
      </c>
      <c r="B285" s="1" t="s">
        <v>11</v>
      </c>
      <c r="C285" s="1">
        <v>2015</v>
      </c>
      <c r="D285" s="1">
        <v>1</v>
      </c>
      <c r="E285" s="1">
        <v>1</v>
      </c>
      <c r="F285" s="1">
        <v>1</v>
      </c>
      <c r="G285" s="1">
        <v>0</v>
      </c>
      <c r="H285" s="2">
        <v>1.0607</v>
      </c>
      <c r="I285" s="2">
        <v>1.0228981544771019</v>
      </c>
      <c r="J285" s="3">
        <v>14540</v>
      </c>
      <c r="K285">
        <v>0.56432602328737769</v>
      </c>
      <c r="L285">
        <v>19.458532752339451</v>
      </c>
      <c r="M285">
        <v>2543.3000000000002</v>
      </c>
    </row>
    <row r="286" spans="1:15" x14ac:dyDescent="0.25">
      <c r="A286" t="s">
        <v>67</v>
      </c>
      <c r="B286" s="1" t="s">
        <v>11</v>
      </c>
      <c r="C286" s="1">
        <v>2016</v>
      </c>
      <c r="D286" s="1">
        <v>1</v>
      </c>
      <c r="E286" s="1">
        <v>1</v>
      </c>
      <c r="F286" s="1">
        <v>1</v>
      </c>
      <c r="G286" s="1">
        <v>0</v>
      </c>
      <c r="H286" s="2">
        <v>0.83319999999999994</v>
      </c>
      <c r="I286" s="2">
        <v>1.2426348891095664</v>
      </c>
      <c r="J286" s="6">
        <v>13999</v>
      </c>
      <c r="K286" s="7">
        <v>0.56432602328737769</v>
      </c>
      <c r="L286" s="7">
        <v>19.458532752339451</v>
      </c>
      <c r="M286">
        <v>2563.6</v>
      </c>
      <c r="O286" s="7"/>
    </row>
    <row r="287" spans="1:15" x14ac:dyDescent="0.25">
      <c r="A287" t="s">
        <v>67</v>
      </c>
      <c r="B287" s="1" t="s">
        <v>11</v>
      </c>
      <c r="C287" s="1">
        <v>2017</v>
      </c>
      <c r="D287" s="1">
        <v>1</v>
      </c>
      <c r="E287" s="1">
        <v>1</v>
      </c>
      <c r="F287" s="1">
        <v>1</v>
      </c>
      <c r="G287" s="1">
        <v>0</v>
      </c>
      <c r="H287" s="2">
        <v>1.0576000000000001</v>
      </c>
      <c r="I287" s="2">
        <v>0.9697573117610454</v>
      </c>
      <c r="J287" s="3">
        <v>14754</v>
      </c>
      <c r="K287">
        <v>0.56432602328737769</v>
      </c>
      <c r="L287">
        <v>19.458532752339451</v>
      </c>
      <c r="M287">
        <v>2580.8000000000002</v>
      </c>
    </row>
    <row r="288" spans="1:15" x14ac:dyDescent="0.25">
      <c r="A288" s="8" t="s">
        <v>67</v>
      </c>
      <c r="B288" s="1" t="s">
        <v>11</v>
      </c>
      <c r="C288" s="1">
        <v>2018</v>
      </c>
      <c r="D288" s="1">
        <v>1</v>
      </c>
      <c r="E288" s="1">
        <v>1</v>
      </c>
      <c r="F288" s="1">
        <v>1</v>
      </c>
      <c r="G288" s="1">
        <v>0</v>
      </c>
      <c r="H288" s="2">
        <v>0.78620000000000001</v>
      </c>
      <c r="I288" s="2">
        <v>0.97001857256566726</v>
      </c>
      <c r="J288" s="3">
        <v>14909</v>
      </c>
      <c r="K288">
        <v>0.56432602328737769</v>
      </c>
      <c r="L288">
        <v>19.458532752339451</v>
      </c>
      <c r="M288">
        <v>2607.9</v>
      </c>
    </row>
    <row r="289" spans="1:15" x14ac:dyDescent="0.25">
      <c r="A289" s="8" t="s">
        <v>68</v>
      </c>
      <c r="B289" s="1" t="s">
        <v>11</v>
      </c>
      <c r="C289" s="1">
        <v>2014</v>
      </c>
      <c r="D289" s="1">
        <v>1</v>
      </c>
      <c r="E289" s="1">
        <v>1</v>
      </c>
      <c r="F289" s="1">
        <v>1</v>
      </c>
      <c r="G289" s="1">
        <v>0</v>
      </c>
      <c r="J289" s="3">
        <v>186495</v>
      </c>
      <c r="K289">
        <v>1.1000000000000001</v>
      </c>
      <c r="L289">
        <v>28.4</v>
      </c>
      <c r="M289">
        <v>5272.5</v>
      </c>
    </row>
    <row r="290" spans="1:15" x14ac:dyDescent="0.25">
      <c r="A290" s="8" t="s">
        <v>68</v>
      </c>
      <c r="B290" s="1" t="s">
        <v>11</v>
      </c>
      <c r="C290" s="1">
        <v>2015</v>
      </c>
      <c r="D290" s="1">
        <v>1</v>
      </c>
      <c r="E290" s="1">
        <v>1</v>
      </c>
      <c r="F290" s="1">
        <v>1</v>
      </c>
      <c r="G290" s="1">
        <v>0</v>
      </c>
      <c r="J290" s="3">
        <v>188711</v>
      </c>
      <c r="K290">
        <v>1.1000000000000001</v>
      </c>
      <c r="L290">
        <v>28.4</v>
      </c>
      <c r="M290">
        <v>5335.1</v>
      </c>
    </row>
    <row r="291" spans="1:15" x14ac:dyDescent="0.25">
      <c r="A291" t="s">
        <v>68</v>
      </c>
      <c r="B291" s="1" t="s">
        <v>11</v>
      </c>
      <c r="C291" s="1">
        <v>2016</v>
      </c>
      <c r="D291" s="1">
        <v>1</v>
      </c>
      <c r="E291" s="1">
        <v>1</v>
      </c>
      <c r="F291" s="1">
        <v>1</v>
      </c>
      <c r="G291" s="1">
        <v>0</v>
      </c>
      <c r="J291" s="6">
        <v>194744</v>
      </c>
      <c r="K291" s="7">
        <v>1.1000000000000001</v>
      </c>
      <c r="L291" s="7">
        <v>28.4</v>
      </c>
      <c r="M291">
        <v>5505.7</v>
      </c>
      <c r="O291" s="7"/>
    </row>
    <row r="292" spans="1:15" x14ac:dyDescent="0.25">
      <c r="A292" t="s">
        <v>68</v>
      </c>
      <c r="B292" s="1" t="s">
        <v>11</v>
      </c>
      <c r="C292" s="1">
        <v>2017</v>
      </c>
      <c r="D292" s="1">
        <v>1</v>
      </c>
      <c r="E292" s="1">
        <v>1</v>
      </c>
      <c r="F292" s="1">
        <v>1</v>
      </c>
      <c r="G292" s="1">
        <v>0</v>
      </c>
      <c r="H292" s="5">
        <v>1</v>
      </c>
      <c r="I292" s="2">
        <f>266035/254282</f>
        <v>1.0462203380498816</v>
      </c>
      <c r="J292" s="3">
        <v>194744</v>
      </c>
      <c r="K292">
        <v>1.1000000000000001</v>
      </c>
      <c r="L292">
        <v>28.4</v>
      </c>
      <c r="M292">
        <v>5505.7</v>
      </c>
    </row>
    <row r="293" spans="1:15" x14ac:dyDescent="0.25">
      <c r="A293" s="8" t="s">
        <v>68</v>
      </c>
      <c r="B293" s="1" t="s">
        <v>11</v>
      </c>
      <c r="C293" s="1">
        <v>2018</v>
      </c>
      <c r="D293" s="1">
        <v>1</v>
      </c>
      <c r="E293" s="1">
        <v>1</v>
      </c>
      <c r="F293" s="1">
        <v>1</v>
      </c>
      <c r="G293" s="1">
        <v>0</v>
      </c>
      <c r="H293" s="2">
        <v>0.7833</v>
      </c>
      <c r="I293" s="2">
        <v>1.0335079448227693</v>
      </c>
      <c r="J293" s="3">
        <v>198024</v>
      </c>
      <c r="K293">
        <v>1.1000000000000001</v>
      </c>
      <c r="L293">
        <v>28.4</v>
      </c>
      <c r="M293">
        <v>5598.4</v>
      </c>
    </row>
    <row r="294" spans="1:15" x14ac:dyDescent="0.25">
      <c r="A294" s="8" t="s">
        <v>69</v>
      </c>
      <c r="B294" s="1" t="s">
        <v>11</v>
      </c>
      <c r="C294" s="1">
        <v>2014</v>
      </c>
      <c r="D294" s="1">
        <v>3</v>
      </c>
      <c r="E294" s="1">
        <v>3</v>
      </c>
      <c r="F294" s="1">
        <v>3</v>
      </c>
      <c r="G294" s="1">
        <v>0</v>
      </c>
      <c r="H294" s="2">
        <v>0.97125074096028452</v>
      </c>
      <c r="I294" s="2">
        <v>1.1063368727362783</v>
      </c>
      <c r="J294" s="3">
        <v>16676</v>
      </c>
      <c r="K294">
        <v>8.535031847133757</v>
      </c>
      <c r="L294">
        <v>3.1119199272065514</v>
      </c>
      <c r="M294">
        <v>1.9</v>
      </c>
    </row>
    <row r="295" spans="1:15" x14ac:dyDescent="0.25">
      <c r="A295" s="8" t="s">
        <v>69</v>
      </c>
      <c r="B295" s="1" t="s">
        <v>11</v>
      </c>
      <c r="C295" s="1">
        <v>2015</v>
      </c>
      <c r="D295" s="1">
        <v>3</v>
      </c>
      <c r="E295" s="1">
        <v>3</v>
      </c>
      <c r="F295" s="1">
        <v>3</v>
      </c>
      <c r="G295" s="1">
        <v>0</v>
      </c>
      <c r="H295" s="2">
        <v>1.0064</v>
      </c>
      <c r="I295" s="2">
        <v>1.1621189701094998</v>
      </c>
      <c r="J295" s="3">
        <v>16731</v>
      </c>
      <c r="K295">
        <v>8.535031847133757</v>
      </c>
      <c r="L295">
        <v>3.1119199272065514</v>
      </c>
      <c r="M295">
        <v>1.9</v>
      </c>
    </row>
    <row r="296" spans="1:15" x14ac:dyDescent="0.25">
      <c r="A296" t="s">
        <v>69</v>
      </c>
      <c r="B296" s="1" t="s">
        <v>11</v>
      </c>
      <c r="C296" s="1">
        <v>2016</v>
      </c>
      <c r="D296" s="1">
        <v>3</v>
      </c>
      <c r="E296" s="1">
        <v>3</v>
      </c>
      <c r="F296" s="1">
        <v>3</v>
      </c>
      <c r="G296" s="1">
        <v>0</v>
      </c>
      <c r="H296" s="2">
        <v>1.0321</v>
      </c>
      <c r="I296" s="2">
        <v>1.3334764373699679</v>
      </c>
      <c r="J296" s="6">
        <v>16485</v>
      </c>
      <c r="K296" s="7">
        <v>8.535031847133757</v>
      </c>
      <c r="L296" s="7">
        <v>3.1119199272065514</v>
      </c>
      <c r="M296">
        <v>2</v>
      </c>
      <c r="O296" s="7"/>
    </row>
    <row r="297" spans="1:15" x14ac:dyDescent="0.25">
      <c r="A297" t="s">
        <v>69</v>
      </c>
      <c r="B297" s="1" t="s">
        <v>11</v>
      </c>
      <c r="C297" s="1">
        <v>2017</v>
      </c>
      <c r="D297" s="1">
        <v>3</v>
      </c>
      <c r="E297" s="1">
        <v>3</v>
      </c>
      <c r="F297" s="1">
        <v>3</v>
      </c>
      <c r="G297" s="1">
        <v>0</v>
      </c>
      <c r="H297" s="2">
        <v>1.0615999999999999</v>
      </c>
      <c r="I297" s="2">
        <v>1.2539828150322601</v>
      </c>
      <c r="J297" s="3">
        <v>16827</v>
      </c>
      <c r="K297">
        <v>8.535031847133757</v>
      </c>
      <c r="L297">
        <v>3.1119199272065514</v>
      </c>
      <c r="M297">
        <v>2</v>
      </c>
    </row>
    <row r="298" spans="1:15" x14ac:dyDescent="0.25">
      <c r="A298" s="8" t="s">
        <v>69</v>
      </c>
      <c r="B298" s="1" t="s">
        <v>11</v>
      </c>
      <c r="C298" s="1">
        <v>2018</v>
      </c>
      <c r="D298" s="1">
        <v>3</v>
      </c>
      <c r="E298" s="1">
        <v>3</v>
      </c>
      <c r="F298" s="1">
        <v>3</v>
      </c>
      <c r="G298" s="1">
        <v>0</v>
      </c>
      <c r="H298" s="2">
        <v>0.9405</v>
      </c>
      <c r="I298" s="2">
        <v>1.2196167423096318</v>
      </c>
      <c r="J298" s="3">
        <v>16844</v>
      </c>
      <c r="K298">
        <v>8.535031847133757</v>
      </c>
      <c r="L298">
        <v>3.1119199272065514</v>
      </c>
      <c r="M298">
        <v>2</v>
      </c>
    </row>
    <row r="299" spans="1:15" x14ac:dyDescent="0.25">
      <c r="A299" s="8" t="s">
        <v>70</v>
      </c>
      <c r="B299" s="1" t="s">
        <v>11</v>
      </c>
      <c r="C299" s="1">
        <v>2014</v>
      </c>
      <c r="D299" s="1">
        <v>2</v>
      </c>
      <c r="E299" s="1">
        <v>3</v>
      </c>
      <c r="F299" s="1">
        <v>2.5</v>
      </c>
      <c r="G299" s="1">
        <v>1</v>
      </c>
      <c r="H299" s="2">
        <v>1.1710526315789473</v>
      </c>
      <c r="I299" s="2">
        <v>0.96578005910717069</v>
      </c>
      <c r="J299" s="3">
        <v>6283</v>
      </c>
      <c r="K299">
        <v>7.8792692613185071</v>
      </c>
      <c r="L299">
        <v>3.113582208101668</v>
      </c>
      <c r="M299">
        <v>3.1</v>
      </c>
    </row>
    <row r="300" spans="1:15" x14ac:dyDescent="0.25">
      <c r="A300" s="8" t="s">
        <v>70</v>
      </c>
      <c r="B300" s="1" t="s">
        <v>11</v>
      </c>
      <c r="C300" s="1">
        <v>2015</v>
      </c>
      <c r="D300" s="1">
        <v>2</v>
      </c>
      <c r="E300" s="1">
        <v>3</v>
      </c>
      <c r="F300" s="1">
        <v>2.5</v>
      </c>
      <c r="G300" s="1">
        <v>1</v>
      </c>
      <c r="H300" s="2">
        <v>0.8659</v>
      </c>
      <c r="I300" s="2">
        <v>1.0437766931055521</v>
      </c>
      <c r="J300" s="3">
        <v>6336</v>
      </c>
      <c r="K300">
        <v>7.8792692613185071</v>
      </c>
      <c r="L300">
        <v>3.113582208101668</v>
      </c>
      <c r="M300">
        <v>3.1</v>
      </c>
    </row>
    <row r="301" spans="1:15" x14ac:dyDescent="0.25">
      <c r="A301" t="s">
        <v>70</v>
      </c>
      <c r="B301" s="1" t="s">
        <v>11</v>
      </c>
      <c r="C301" s="1">
        <v>2016</v>
      </c>
      <c r="D301" s="1">
        <v>2</v>
      </c>
      <c r="E301" s="1">
        <v>3</v>
      </c>
      <c r="F301" s="1">
        <v>2.5</v>
      </c>
      <c r="G301" s="1">
        <v>1</v>
      </c>
      <c r="H301" s="2">
        <v>0.86599999999999999</v>
      </c>
      <c r="I301" s="2">
        <v>1.1561735941320292</v>
      </c>
      <c r="J301" s="6">
        <v>6295</v>
      </c>
      <c r="K301" s="7">
        <v>7.8792692613185071</v>
      </c>
      <c r="L301" s="7">
        <v>3.113582208101668</v>
      </c>
      <c r="M301">
        <v>3.2</v>
      </c>
      <c r="O301" s="7"/>
    </row>
    <row r="302" spans="1:15" x14ac:dyDescent="0.25">
      <c r="A302" t="s">
        <v>70</v>
      </c>
      <c r="B302" s="1" t="s">
        <v>11</v>
      </c>
      <c r="C302" s="1">
        <v>2017</v>
      </c>
      <c r="D302" s="1">
        <v>2</v>
      </c>
      <c r="E302" s="1">
        <v>3</v>
      </c>
      <c r="F302" s="1">
        <v>2.5</v>
      </c>
      <c r="G302" s="1">
        <v>1</v>
      </c>
      <c r="H302" s="2">
        <v>0.81180000000000008</v>
      </c>
      <c r="I302" s="2">
        <v>1.1898076653095606</v>
      </c>
      <c r="J302" s="3">
        <v>6516</v>
      </c>
      <c r="K302">
        <v>7.8792692613185071</v>
      </c>
      <c r="L302">
        <v>3.113582208101668</v>
      </c>
      <c r="M302">
        <v>3.2</v>
      </c>
    </row>
    <row r="303" spans="1:15" x14ac:dyDescent="0.25">
      <c r="A303" s="8" t="s">
        <v>70</v>
      </c>
      <c r="B303" s="1" t="s">
        <v>11</v>
      </c>
      <c r="C303" s="1">
        <v>2018</v>
      </c>
      <c r="D303" s="1">
        <v>2</v>
      </c>
      <c r="E303" s="1">
        <v>3</v>
      </c>
      <c r="F303" s="1">
        <v>2.5</v>
      </c>
      <c r="G303" s="1">
        <v>1</v>
      </c>
      <c r="H303" s="2">
        <v>1.2726</v>
      </c>
      <c r="I303" s="2">
        <v>1.022785622593068</v>
      </c>
      <c r="J303" s="3">
        <v>6631</v>
      </c>
      <c r="K303">
        <v>7.8792692613185071</v>
      </c>
      <c r="L303">
        <v>3.113582208101668</v>
      </c>
      <c r="M303">
        <v>3.3</v>
      </c>
    </row>
    <row r="304" spans="1:15" x14ac:dyDescent="0.25">
      <c r="A304" s="8" t="s">
        <v>71</v>
      </c>
      <c r="B304" s="1" t="s">
        <v>11</v>
      </c>
      <c r="C304" s="1">
        <v>2014</v>
      </c>
      <c r="D304" s="1">
        <v>2</v>
      </c>
      <c r="E304" s="1">
        <v>3</v>
      </c>
      <c r="F304" s="1">
        <v>2.5</v>
      </c>
      <c r="G304" s="1">
        <v>1</v>
      </c>
      <c r="H304" s="2">
        <v>1.4651013663493315</v>
      </c>
      <c r="I304" s="2">
        <v>0.73781683765841888</v>
      </c>
      <c r="J304" s="3">
        <v>29351</v>
      </c>
      <c r="K304">
        <v>11.573080384961573</v>
      </c>
      <c r="L304">
        <v>2.1948348681021947</v>
      </c>
      <c r="M304">
        <v>8.6999999999999993</v>
      </c>
    </row>
    <row r="305" spans="1:15" x14ac:dyDescent="0.25">
      <c r="A305" s="8" t="s">
        <v>71</v>
      </c>
      <c r="B305" s="1" t="s">
        <v>11</v>
      </c>
      <c r="C305" s="1">
        <v>2015</v>
      </c>
      <c r="D305" s="1">
        <v>2</v>
      </c>
      <c r="E305" s="1">
        <v>3</v>
      </c>
      <c r="F305" s="1">
        <v>2.5</v>
      </c>
      <c r="G305" s="1">
        <v>1</v>
      </c>
      <c r="H305" s="2">
        <v>0.78920000000000001</v>
      </c>
      <c r="I305" s="2">
        <v>1.1753340698653199</v>
      </c>
      <c r="J305" s="3">
        <v>29379</v>
      </c>
      <c r="K305">
        <v>11.573080384961573</v>
      </c>
      <c r="L305">
        <v>2.1948348681021947</v>
      </c>
      <c r="M305">
        <v>8.6999999999999993</v>
      </c>
    </row>
    <row r="306" spans="1:15" x14ac:dyDescent="0.25">
      <c r="A306" t="s">
        <v>71</v>
      </c>
      <c r="B306" s="1" t="s">
        <v>11</v>
      </c>
      <c r="C306" s="1">
        <v>2016</v>
      </c>
      <c r="D306" s="1">
        <v>2</v>
      </c>
      <c r="E306" s="1">
        <v>3</v>
      </c>
      <c r="F306" s="1">
        <v>2.5</v>
      </c>
      <c r="G306" s="1">
        <v>1</v>
      </c>
      <c r="H306" s="2">
        <v>0.96689999999999998</v>
      </c>
      <c r="I306" s="2">
        <v>1.033423019431988</v>
      </c>
      <c r="J306" s="6">
        <v>28886</v>
      </c>
      <c r="K306" s="7">
        <v>11.573080384961573</v>
      </c>
      <c r="L306" s="7">
        <v>2.1948348681021947</v>
      </c>
      <c r="M306">
        <v>8.6999999999999993</v>
      </c>
      <c r="O306" s="7"/>
    </row>
    <row r="307" spans="1:15" x14ac:dyDescent="0.25">
      <c r="A307" t="s">
        <v>71</v>
      </c>
      <c r="B307" s="1" t="s">
        <v>11</v>
      </c>
      <c r="C307" s="1">
        <v>2017</v>
      </c>
      <c r="D307" s="1">
        <v>2</v>
      </c>
      <c r="E307" s="1">
        <v>3</v>
      </c>
      <c r="F307" s="1">
        <v>2.5</v>
      </c>
      <c r="G307" s="1">
        <v>1</v>
      </c>
      <c r="H307" s="2">
        <v>1.0730999999999999</v>
      </c>
      <c r="I307" s="2">
        <v>1.005268646067724</v>
      </c>
      <c r="J307" s="3">
        <v>29550</v>
      </c>
      <c r="K307">
        <v>11.573080384961573</v>
      </c>
      <c r="L307">
        <v>2.1948348681021947</v>
      </c>
      <c r="M307">
        <v>8.8000000000000007</v>
      </c>
    </row>
    <row r="308" spans="1:15" x14ac:dyDescent="0.25">
      <c r="A308" s="8" t="s">
        <v>71</v>
      </c>
      <c r="B308" s="1" t="s">
        <v>11</v>
      </c>
      <c r="C308" s="1">
        <v>2018</v>
      </c>
      <c r="D308" s="1">
        <v>2</v>
      </c>
      <c r="E308" s="1">
        <v>3</v>
      </c>
      <c r="F308" s="1">
        <v>2.5</v>
      </c>
      <c r="G308" s="1">
        <v>1</v>
      </c>
      <c r="H308" s="2">
        <v>0.86010000000000009</v>
      </c>
      <c r="I308" s="2">
        <v>1.0325159537588613</v>
      </c>
      <c r="J308" s="3">
        <v>29665</v>
      </c>
      <c r="K308">
        <v>11.573080384961573</v>
      </c>
      <c r="L308">
        <v>2.1948348681021947</v>
      </c>
      <c r="M308">
        <v>8.8000000000000007</v>
      </c>
    </row>
    <row r="309" spans="1:15" x14ac:dyDescent="0.25">
      <c r="A309" s="8" t="s">
        <v>72</v>
      </c>
      <c r="B309" s="1" t="s">
        <v>11</v>
      </c>
      <c r="C309" s="1">
        <v>2014</v>
      </c>
      <c r="D309" s="1">
        <v>2</v>
      </c>
      <c r="E309" s="1">
        <v>2</v>
      </c>
      <c r="F309" s="1">
        <v>2</v>
      </c>
      <c r="G309" s="1">
        <v>0</v>
      </c>
      <c r="H309" s="2">
        <v>1.0573618821041502</v>
      </c>
      <c r="I309" s="2">
        <v>0.92630387524478541</v>
      </c>
      <c r="J309" s="3">
        <v>21612</v>
      </c>
      <c r="K309">
        <v>1.7981924904500142</v>
      </c>
      <c r="L309">
        <v>4.3743594521568996</v>
      </c>
      <c r="M309">
        <v>83.9</v>
      </c>
    </row>
    <row r="310" spans="1:15" x14ac:dyDescent="0.25">
      <c r="A310" s="8" t="s">
        <v>72</v>
      </c>
      <c r="B310" s="1" t="s">
        <v>11</v>
      </c>
      <c r="C310" s="1">
        <v>2015</v>
      </c>
      <c r="D310" s="1">
        <v>2</v>
      </c>
      <c r="E310" s="1">
        <v>2</v>
      </c>
      <c r="F310" s="1">
        <v>2</v>
      </c>
      <c r="G310" s="1">
        <v>0</v>
      </c>
      <c r="H310" s="2">
        <v>0.98049999999999993</v>
      </c>
      <c r="I310" s="2">
        <v>0.99965333949618673</v>
      </c>
      <c r="J310" s="3">
        <v>21890</v>
      </c>
      <c r="K310">
        <v>1.7981924904500142</v>
      </c>
      <c r="L310">
        <v>4.3743594521568996</v>
      </c>
      <c r="M310">
        <v>85</v>
      </c>
    </row>
    <row r="311" spans="1:15" x14ac:dyDescent="0.25">
      <c r="A311" t="s">
        <v>72</v>
      </c>
      <c r="B311" s="1" t="s">
        <v>11</v>
      </c>
      <c r="C311" s="1">
        <v>2016</v>
      </c>
      <c r="D311" s="1">
        <v>2</v>
      </c>
      <c r="E311" s="1">
        <v>2</v>
      </c>
      <c r="F311" s="1">
        <v>2</v>
      </c>
      <c r="G311" s="1">
        <v>0</v>
      </c>
      <c r="H311" s="2">
        <v>1.0181</v>
      </c>
      <c r="I311" s="2">
        <v>1.2883953588957633</v>
      </c>
      <c r="J311" s="6">
        <v>21466</v>
      </c>
      <c r="K311" s="7">
        <v>1.7981924904500142</v>
      </c>
      <c r="L311" s="7">
        <v>4.3743594521568996</v>
      </c>
      <c r="M311">
        <v>85.8</v>
      </c>
      <c r="O311" s="7"/>
    </row>
    <row r="312" spans="1:15" x14ac:dyDescent="0.25">
      <c r="A312" t="s">
        <v>72</v>
      </c>
      <c r="B312" s="1" t="s">
        <v>11</v>
      </c>
      <c r="C312" s="1">
        <v>2017</v>
      </c>
      <c r="D312" s="1">
        <v>2</v>
      </c>
      <c r="E312" s="1">
        <v>2</v>
      </c>
      <c r="F312" s="1">
        <v>2</v>
      </c>
      <c r="G312" s="1">
        <v>0</v>
      </c>
      <c r="H312" s="2">
        <v>0.95860000000000001</v>
      </c>
      <c r="I312" s="2">
        <v>1.389545480167603</v>
      </c>
      <c r="J312" s="3">
        <v>22461</v>
      </c>
      <c r="K312">
        <v>1.7981924904500142</v>
      </c>
      <c r="L312">
        <v>4.3743594521568996</v>
      </c>
      <c r="M312">
        <v>87.2</v>
      </c>
    </row>
    <row r="313" spans="1:15" x14ac:dyDescent="0.25">
      <c r="A313" s="8" t="s">
        <v>72</v>
      </c>
      <c r="B313" s="1" t="s">
        <v>11</v>
      </c>
      <c r="C313" s="1">
        <v>2018</v>
      </c>
      <c r="D313" s="1">
        <v>2</v>
      </c>
      <c r="E313" s="1">
        <v>2</v>
      </c>
      <c r="F313" s="1">
        <v>2</v>
      </c>
      <c r="G313" s="1">
        <v>0</v>
      </c>
      <c r="H313" s="2">
        <v>0.9423999999999999</v>
      </c>
      <c r="I313" s="2">
        <v>0.98464971476902585</v>
      </c>
      <c r="J313" s="3">
        <v>23006</v>
      </c>
      <c r="K313">
        <v>1.7981924904500142</v>
      </c>
      <c r="L313">
        <v>4.3743594521568996</v>
      </c>
      <c r="M313">
        <v>89.3</v>
      </c>
    </row>
    <row r="314" spans="1:15" x14ac:dyDescent="0.25">
      <c r="A314" s="8" t="s">
        <v>73</v>
      </c>
      <c r="B314" s="1" t="s">
        <v>11</v>
      </c>
      <c r="C314" s="1">
        <v>2014</v>
      </c>
      <c r="D314" s="1">
        <v>1</v>
      </c>
      <c r="E314" s="1">
        <v>1</v>
      </c>
      <c r="F314" s="1">
        <v>1</v>
      </c>
      <c r="G314" s="1">
        <v>0</v>
      </c>
      <c r="H314" s="2">
        <v>1.0560478274794491</v>
      </c>
      <c r="I314" s="2">
        <v>1.1590927123418098</v>
      </c>
      <c r="J314" s="3">
        <v>119851</v>
      </c>
      <c r="K314">
        <v>0.17873328081454939</v>
      </c>
      <c r="L314">
        <v>27.738388689825754</v>
      </c>
      <c r="M314">
        <v>1403.2</v>
      </c>
    </row>
    <row r="315" spans="1:15" x14ac:dyDescent="0.25">
      <c r="A315" s="8" t="s">
        <v>73</v>
      </c>
      <c r="B315" s="1" t="s">
        <v>11</v>
      </c>
      <c r="C315" s="1">
        <v>2015</v>
      </c>
      <c r="D315" s="1">
        <v>1</v>
      </c>
      <c r="E315" s="1">
        <v>1</v>
      </c>
      <c r="F315" s="1">
        <v>1</v>
      </c>
      <c r="G315" s="1">
        <v>0</v>
      </c>
      <c r="H315" s="2">
        <v>1.0122</v>
      </c>
      <c r="I315" s="2">
        <v>1.2039662614915021</v>
      </c>
      <c r="J315" s="3">
        <v>121315</v>
      </c>
      <c r="K315">
        <v>0.17873328081454939</v>
      </c>
      <c r="L315">
        <v>27.738388689825754</v>
      </c>
      <c r="M315">
        <v>1420.4</v>
      </c>
    </row>
    <row r="316" spans="1:15" x14ac:dyDescent="0.25">
      <c r="A316" t="s">
        <v>73</v>
      </c>
      <c r="B316" s="1" t="s">
        <v>11</v>
      </c>
      <c r="C316" s="1">
        <v>2016</v>
      </c>
      <c r="D316" s="1">
        <v>1</v>
      </c>
      <c r="E316" s="1">
        <v>1</v>
      </c>
      <c r="F316" s="1">
        <v>1</v>
      </c>
      <c r="G316" s="1">
        <v>0</v>
      </c>
      <c r="H316" s="2">
        <v>1.0744</v>
      </c>
      <c r="I316" s="2">
        <v>1.3679796825950559</v>
      </c>
      <c r="J316" s="6">
        <v>118053</v>
      </c>
      <c r="K316" s="7">
        <v>0.17873328081454939</v>
      </c>
      <c r="L316" s="7">
        <v>27.738388689825754</v>
      </c>
      <c r="M316">
        <v>1433.9</v>
      </c>
      <c r="O316" s="7"/>
    </row>
    <row r="317" spans="1:15" x14ac:dyDescent="0.25">
      <c r="A317" t="s">
        <v>73</v>
      </c>
      <c r="B317" s="1" t="s">
        <v>11</v>
      </c>
      <c r="C317" s="1">
        <v>2017</v>
      </c>
      <c r="D317" s="1">
        <v>1</v>
      </c>
      <c r="E317" s="1">
        <v>1</v>
      </c>
      <c r="F317" s="1">
        <v>1</v>
      </c>
      <c r="G317" s="1">
        <v>0</v>
      </c>
      <c r="H317" s="2">
        <v>1.0365</v>
      </c>
      <c r="I317" s="2">
        <v>1.28162179617921</v>
      </c>
      <c r="J317" s="3">
        <v>124515</v>
      </c>
      <c r="K317">
        <v>0.17873328081454939</v>
      </c>
      <c r="L317">
        <v>27.738388689825754</v>
      </c>
      <c r="M317">
        <v>1457.9</v>
      </c>
    </row>
    <row r="318" spans="1:15" x14ac:dyDescent="0.25">
      <c r="A318" s="8" t="s">
        <v>73</v>
      </c>
      <c r="B318" s="1" t="s">
        <v>11</v>
      </c>
      <c r="C318" s="1">
        <v>2018</v>
      </c>
      <c r="D318" s="1">
        <v>1</v>
      </c>
      <c r="E318" s="1">
        <v>1</v>
      </c>
      <c r="F318" s="1">
        <v>1</v>
      </c>
      <c r="G318" s="1">
        <v>0</v>
      </c>
      <c r="H318" s="2">
        <v>1.1462000000000001</v>
      </c>
      <c r="I318" s="2">
        <v>1.0417682629474301</v>
      </c>
      <c r="J318" s="3">
        <v>126046</v>
      </c>
      <c r="K318">
        <v>0.17873328081454939</v>
      </c>
      <c r="L318">
        <v>27.738388689825754</v>
      </c>
      <c r="M318">
        <v>1475.8</v>
      </c>
    </row>
    <row r="319" spans="1:15" x14ac:dyDescent="0.25">
      <c r="A319" s="8" t="s">
        <v>74</v>
      </c>
      <c r="B319" s="1" t="s">
        <v>11</v>
      </c>
      <c r="C319" s="1">
        <v>2014</v>
      </c>
      <c r="D319" s="1">
        <v>2</v>
      </c>
      <c r="E319" s="1">
        <v>3</v>
      </c>
      <c r="F319" s="1">
        <v>2.5</v>
      </c>
      <c r="G319" s="1">
        <v>1</v>
      </c>
      <c r="H319" s="2">
        <v>1.0057906458797328</v>
      </c>
      <c r="I319" s="2">
        <v>0.81182205971968313</v>
      </c>
      <c r="J319" s="3">
        <v>9288</v>
      </c>
      <c r="K319">
        <v>4.2622217250251708</v>
      </c>
      <c r="L319">
        <v>2.6289294104485958</v>
      </c>
      <c r="M319">
        <v>2.6</v>
      </c>
    </row>
    <row r="320" spans="1:15" x14ac:dyDescent="0.25">
      <c r="A320" s="8" t="s">
        <v>74</v>
      </c>
      <c r="B320" s="1" t="s">
        <v>11</v>
      </c>
      <c r="C320" s="1">
        <v>2015</v>
      </c>
      <c r="D320" s="1">
        <v>2</v>
      </c>
      <c r="E320" s="1">
        <v>3</v>
      </c>
      <c r="F320" s="1">
        <v>2.5</v>
      </c>
      <c r="G320" s="1">
        <v>1</v>
      </c>
      <c r="H320" s="2">
        <v>0.99809999999999999</v>
      </c>
      <c r="I320" s="2">
        <v>0.97376537028878118</v>
      </c>
      <c r="J320" s="3">
        <v>9197</v>
      </c>
      <c r="K320">
        <v>4.2622217250251708</v>
      </c>
      <c r="L320">
        <v>2.6289294104485958</v>
      </c>
      <c r="M320">
        <v>2.6</v>
      </c>
    </row>
    <row r="321" spans="1:15" x14ac:dyDescent="0.25">
      <c r="A321" t="s">
        <v>74</v>
      </c>
      <c r="B321" s="1" t="s">
        <v>11</v>
      </c>
      <c r="C321" s="1">
        <v>2016</v>
      </c>
      <c r="D321" s="1">
        <v>2</v>
      </c>
      <c r="E321" s="1">
        <v>3</v>
      </c>
      <c r="F321" s="1">
        <v>2.5</v>
      </c>
      <c r="G321" s="1">
        <v>1</v>
      </c>
      <c r="H321" s="2">
        <v>1.0302</v>
      </c>
      <c r="I321" s="2">
        <v>1.1925614641426439</v>
      </c>
      <c r="J321" s="6">
        <v>8939</v>
      </c>
      <c r="K321" s="7">
        <v>4.2622217250251708</v>
      </c>
      <c r="L321" s="7">
        <v>2.6289294104485958</v>
      </c>
      <c r="M321">
        <v>2.5</v>
      </c>
      <c r="O321" s="7"/>
    </row>
    <row r="322" spans="1:15" x14ac:dyDescent="0.25">
      <c r="A322" t="s">
        <v>74</v>
      </c>
      <c r="B322" s="1" t="s">
        <v>11</v>
      </c>
      <c r="C322" s="1">
        <v>2017</v>
      </c>
      <c r="D322" s="1">
        <v>2</v>
      </c>
      <c r="E322" s="1">
        <v>3</v>
      </c>
      <c r="F322" s="1">
        <v>2.5</v>
      </c>
      <c r="G322" s="1">
        <v>1</v>
      </c>
      <c r="H322" s="2">
        <v>1.0046999999999999</v>
      </c>
      <c r="I322" s="2">
        <v>1.2399007929051895</v>
      </c>
      <c r="J322" s="3">
        <v>8982</v>
      </c>
      <c r="K322">
        <v>4.2622217250251708</v>
      </c>
      <c r="L322">
        <v>2.6289294104485958</v>
      </c>
      <c r="M322">
        <v>2.5</v>
      </c>
    </row>
    <row r="323" spans="1:15" x14ac:dyDescent="0.25">
      <c r="A323" s="8" t="s">
        <v>74</v>
      </c>
      <c r="B323" s="1" t="s">
        <v>11</v>
      </c>
      <c r="C323" s="1">
        <v>2018</v>
      </c>
      <c r="D323" s="1">
        <v>2</v>
      </c>
      <c r="E323" s="1">
        <v>3</v>
      </c>
      <c r="F323" s="1">
        <v>2.5</v>
      </c>
      <c r="G323" s="1">
        <v>1</v>
      </c>
      <c r="H323" s="2">
        <v>0.95819999999999994</v>
      </c>
      <c r="I323" s="2">
        <v>1.095922598479613</v>
      </c>
      <c r="J323" s="3">
        <v>8870</v>
      </c>
      <c r="K323">
        <v>4.2622217250251708</v>
      </c>
      <c r="L323">
        <v>2.6289294104485958</v>
      </c>
      <c r="M323">
        <v>2.5</v>
      </c>
    </row>
    <row r="324" spans="1:15" x14ac:dyDescent="0.25">
      <c r="A324" s="8" t="s">
        <v>75</v>
      </c>
      <c r="B324" s="1" t="s">
        <v>11</v>
      </c>
      <c r="C324" s="1">
        <v>2014</v>
      </c>
      <c r="D324" s="1">
        <v>3</v>
      </c>
      <c r="E324" s="1">
        <v>4</v>
      </c>
      <c r="F324" s="1">
        <v>3.5</v>
      </c>
      <c r="G324" s="1">
        <v>1</v>
      </c>
      <c r="H324" s="2">
        <v>2.3331862681137432</v>
      </c>
      <c r="I324" s="2">
        <v>0.80841264967761739</v>
      </c>
      <c r="J324" s="3">
        <v>6530</v>
      </c>
      <c r="K324">
        <v>17.578692493946733</v>
      </c>
      <c r="L324">
        <v>1.9854721549636805</v>
      </c>
      <c r="M324">
        <v>0.4</v>
      </c>
    </row>
    <row r="325" spans="1:15" x14ac:dyDescent="0.25">
      <c r="A325" s="8" t="s">
        <v>75</v>
      </c>
      <c r="B325" s="1" t="s">
        <v>11</v>
      </c>
      <c r="C325" s="1">
        <v>2015</v>
      </c>
      <c r="D325" s="1">
        <v>3</v>
      </c>
      <c r="E325" s="1">
        <v>4</v>
      </c>
      <c r="F325" s="1">
        <v>3.5</v>
      </c>
      <c r="G325" s="1">
        <v>1</v>
      </c>
      <c r="H325" s="2">
        <v>0.43200000000000005</v>
      </c>
      <c r="I325" s="2">
        <v>0.99525439899640156</v>
      </c>
      <c r="J325" s="3">
        <v>6450</v>
      </c>
      <c r="K325">
        <v>17.578692493946733</v>
      </c>
      <c r="L325">
        <v>1.9854721549636805</v>
      </c>
      <c r="M325">
        <v>0.4</v>
      </c>
    </row>
    <row r="326" spans="1:15" x14ac:dyDescent="0.25">
      <c r="A326" t="s">
        <v>75</v>
      </c>
      <c r="B326" s="1" t="s">
        <v>11</v>
      </c>
      <c r="C326" s="1">
        <v>2016</v>
      </c>
      <c r="D326" s="1">
        <v>3</v>
      </c>
      <c r="E326" s="1">
        <v>4</v>
      </c>
      <c r="F326" s="1">
        <v>3.5</v>
      </c>
      <c r="G326" s="1">
        <v>1</v>
      </c>
      <c r="H326" s="2">
        <v>0.7881999999999999</v>
      </c>
      <c r="I326" s="2">
        <v>1.0981786758840735</v>
      </c>
      <c r="J326" s="6">
        <v>6195</v>
      </c>
      <c r="K326" s="7">
        <v>17.578692493946733</v>
      </c>
      <c r="L326" s="7">
        <v>1.9854721549636805</v>
      </c>
      <c r="M326">
        <v>0.4</v>
      </c>
      <c r="O326" s="7"/>
    </row>
    <row r="327" spans="1:15" x14ac:dyDescent="0.25">
      <c r="A327" t="s">
        <v>75</v>
      </c>
      <c r="B327" s="1" t="s">
        <v>11</v>
      </c>
      <c r="C327" s="1">
        <v>2017</v>
      </c>
      <c r="D327" s="1">
        <v>3</v>
      </c>
      <c r="E327" s="1">
        <v>4</v>
      </c>
      <c r="F327" s="1">
        <v>3.5</v>
      </c>
      <c r="G327" s="1">
        <v>1</v>
      </c>
      <c r="H327" s="2">
        <v>0.93469999999999998</v>
      </c>
      <c r="I327" s="2">
        <v>1.0965284366802479</v>
      </c>
      <c r="J327" s="3">
        <v>6230</v>
      </c>
      <c r="K327">
        <v>17.578692493946733</v>
      </c>
      <c r="L327">
        <v>1.9854721549636805</v>
      </c>
      <c r="M327">
        <v>0.4</v>
      </c>
    </row>
    <row r="328" spans="1:15" x14ac:dyDescent="0.25">
      <c r="A328" s="8" t="s">
        <v>75</v>
      </c>
      <c r="B328" s="1" t="s">
        <v>11</v>
      </c>
      <c r="C328" s="1">
        <v>2018</v>
      </c>
      <c r="D328" s="1">
        <v>3</v>
      </c>
      <c r="E328" s="1">
        <v>4</v>
      </c>
      <c r="F328" s="1">
        <v>3.5</v>
      </c>
      <c r="G328" s="1">
        <v>1</v>
      </c>
      <c r="H328" s="2">
        <v>0.91480000000000006</v>
      </c>
      <c r="I328" s="2">
        <v>1.10620377978636</v>
      </c>
      <c r="J328" s="3">
        <v>6151</v>
      </c>
      <c r="K328">
        <v>17.578692493946733</v>
      </c>
      <c r="L328">
        <v>1.9854721549636805</v>
      </c>
      <c r="M328">
        <v>0.4</v>
      </c>
    </row>
    <row r="329" spans="1:15" x14ac:dyDescent="0.25">
      <c r="A329" s="8" t="s">
        <v>76</v>
      </c>
      <c r="B329" s="1" t="s">
        <v>11</v>
      </c>
      <c r="C329" s="1">
        <v>2014</v>
      </c>
      <c r="D329" s="1">
        <v>1</v>
      </c>
      <c r="E329" s="1">
        <v>2</v>
      </c>
      <c r="F329" s="1">
        <v>1.5</v>
      </c>
      <c r="G329" s="1">
        <v>1</v>
      </c>
      <c r="H329" s="2">
        <v>1.0496441174711406</v>
      </c>
      <c r="I329" s="2">
        <v>1.2175371099978398</v>
      </c>
      <c r="J329" s="3">
        <v>200249</v>
      </c>
      <c r="K329">
        <v>4.0694522553743422</v>
      </c>
      <c r="L329">
        <v>4.425630658702052</v>
      </c>
      <c r="M329">
        <v>308.7</v>
      </c>
    </row>
    <row r="330" spans="1:15" x14ac:dyDescent="0.25">
      <c r="A330" s="8" t="s">
        <v>76</v>
      </c>
      <c r="B330" s="1" t="s">
        <v>11</v>
      </c>
      <c r="C330" s="1">
        <v>2015</v>
      </c>
      <c r="D330" s="1">
        <v>1</v>
      </c>
      <c r="E330" s="1">
        <v>2</v>
      </c>
      <c r="F330" s="1">
        <v>1.5</v>
      </c>
      <c r="G330" s="1">
        <v>1</v>
      </c>
      <c r="H330" s="2">
        <v>0.95719999999999994</v>
      </c>
      <c r="I330" s="2">
        <v>1.239647449090777</v>
      </c>
      <c r="J330" s="3">
        <v>201240</v>
      </c>
      <c r="K330">
        <v>4.0694522553743422</v>
      </c>
      <c r="L330">
        <v>4.425630658702052</v>
      </c>
      <c r="M330">
        <v>310.2</v>
      </c>
    </row>
    <row r="331" spans="1:15" x14ac:dyDescent="0.25">
      <c r="A331" t="s">
        <v>76</v>
      </c>
      <c r="B331" s="1" t="s">
        <v>11</v>
      </c>
      <c r="C331" s="1">
        <v>2016</v>
      </c>
      <c r="D331" s="1">
        <v>1</v>
      </c>
      <c r="E331" s="1">
        <v>2</v>
      </c>
      <c r="F331" s="1">
        <v>1.5</v>
      </c>
      <c r="G331" s="1">
        <v>1</v>
      </c>
      <c r="H331" s="2">
        <v>1.0534999999999999</v>
      </c>
      <c r="I331" s="2">
        <v>1.468187299136761</v>
      </c>
      <c r="J331" s="6">
        <v>197373</v>
      </c>
      <c r="K331" s="7">
        <v>4.0694522553743422</v>
      </c>
      <c r="L331" s="7">
        <v>4.425630658702052</v>
      </c>
      <c r="M331">
        <v>311.89999999999998</v>
      </c>
      <c r="O331" s="7"/>
    </row>
    <row r="332" spans="1:15" x14ac:dyDescent="0.25">
      <c r="A332" t="s">
        <v>76</v>
      </c>
      <c r="B332" s="1" t="s">
        <v>11</v>
      </c>
      <c r="C332" s="1">
        <v>2017</v>
      </c>
      <c r="D332" s="1">
        <v>1</v>
      </c>
      <c r="E332" s="1">
        <v>2</v>
      </c>
      <c r="F332" s="1">
        <v>1.5</v>
      </c>
      <c r="G332" s="1">
        <v>1</v>
      </c>
      <c r="H332" s="2">
        <v>0.9224</v>
      </c>
      <c r="I332" s="2">
        <v>1.3202303776141815</v>
      </c>
      <c r="J332" s="3">
        <v>203502</v>
      </c>
      <c r="K332">
        <v>4.0694522553743422</v>
      </c>
      <c r="L332">
        <v>4.425630658702052</v>
      </c>
      <c r="M332">
        <v>313.7</v>
      </c>
    </row>
    <row r="333" spans="1:15" x14ac:dyDescent="0.25">
      <c r="A333" s="8" t="s">
        <v>76</v>
      </c>
      <c r="B333" s="1" t="s">
        <v>11</v>
      </c>
      <c r="C333" s="1">
        <v>2018</v>
      </c>
      <c r="D333" s="1">
        <v>1</v>
      </c>
      <c r="E333" s="1">
        <v>2</v>
      </c>
      <c r="F333" s="1">
        <v>1.5</v>
      </c>
      <c r="G333" s="1">
        <v>1</v>
      </c>
      <c r="H333" s="2">
        <v>0.92709999999999992</v>
      </c>
      <c r="I333" s="2">
        <v>1.0588731722531051</v>
      </c>
      <c r="J333" s="3">
        <v>204914</v>
      </c>
      <c r="K333">
        <v>4.0694522553743422</v>
      </c>
      <c r="L333">
        <v>4.425630658702052</v>
      </c>
      <c r="M333">
        <v>315.89999999999998</v>
      </c>
    </row>
    <row r="334" spans="1:15" x14ac:dyDescent="0.25">
      <c r="A334" s="8" t="s">
        <v>77</v>
      </c>
      <c r="B334" s="1" t="s">
        <v>11</v>
      </c>
      <c r="C334" s="1">
        <v>2014</v>
      </c>
      <c r="D334" s="1">
        <v>1</v>
      </c>
      <c r="E334" s="1">
        <v>1</v>
      </c>
      <c r="F334" s="1">
        <v>1</v>
      </c>
      <c r="G334" s="1">
        <v>0</v>
      </c>
      <c r="H334" s="2">
        <v>0.73510645924439033</v>
      </c>
      <c r="I334" s="2">
        <v>1.3483524238640683</v>
      </c>
      <c r="J334" s="3">
        <v>35196</v>
      </c>
      <c r="K334">
        <v>0.34396671289875175</v>
      </c>
      <c r="L334">
        <v>26.380027739251037</v>
      </c>
      <c r="M334">
        <v>3358.6</v>
      </c>
    </row>
    <row r="335" spans="1:15" x14ac:dyDescent="0.25">
      <c r="A335" s="8" t="s">
        <v>77</v>
      </c>
      <c r="B335" s="1" t="s">
        <v>11</v>
      </c>
      <c r="C335" s="1">
        <v>2015</v>
      </c>
      <c r="D335" s="1">
        <v>1</v>
      </c>
      <c r="E335" s="1">
        <v>1</v>
      </c>
      <c r="F335" s="1">
        <v>1</v>
      </c>
      <c r="G335" s="1">
        <v>0</v>
      </c>
      <c r="H335" s="2">
        <v>1.8566</v>
      </c>
      <c r="I335" s="2">
        <v>1.4177641894010662</v>
      </c>
      <c r="J335" s="3">
        <v>36402</v>
      </c>
      <c r="K335">
        <v>0.34396671289875175</v>
      </c>
      <c r="L335">
        <v>26.380027739251037</v>
      </c>
      <c r="M335">
        <v>3473.7</v>
      </c>
    </row>
    <row r="336" spans="1:15" x14ac:dyDescent="0.25">
      <c r="A336" t="s">
        <v>77</v>
      </c>
      <c r="B336" s="1" t="s">
        <v>11</v>
      </c>
      <c r="C336" s="1">
        <v>2016</v>
      </c>
      <c r="D336" s="1">
        <v>1</v>
      </c>
      <c r="E336" s="1">
        <v>1</v>
      </c>
      <c r="F336" s="1">
        <v>1</v>
      </c>
      <c r="G336" s="1">
        <v>0</v>
      </c>
      <c r="H336" s="2">
        <v>2.1364000000000001</v>
      </c>
      <c r="I336" s="2">
        <v>1.2801763975811349</v>
      </c>
      <c r="J336" s="6">
        <v>36050</v>
      </c>
      <c r="K336" s="7">
        <v>0.34396671289875175</v>
      </c>
      <c r="L336" s="7">
        <v>26.380027739251037</v>
      </c>
      <c r="M336">
        <v>3597</v>
      </c>
      <c r="O336" s="7"/>
    </row>
    <row r="337" spans="1:15" x14ac:dyDescent="0.25">
      <c r="A337" t="s">
        <v>77</v>
      </c>
      <c r="B337" s="1" t="s">
        <v>11</v>
      </c>
      <c r="C337" s="1">
        <v>2017</v>
      </c>
      <c r="D337" s="1">
        <v>1</v>
      </c>
      <c r="E337" s="1">
        <v>1</v>
      </c>
      <c r="F337" s="1">
        <v>1</v>
      </c>
      <c r="G337" s="1">
        <v>0</v>
      </c>
      <c r="H337" s="2">
        <v>3.2511999999999999</v>
      </c>
      <c r="I337" s="2">
        <v>2.0484842165628341</v>
      </c>
      <c r="J337" s="3">
        <v>38780</v>
      </c>
      <c r="K337">
        <v>0.34396671289875175</v>
      </c>
      <c r="L337">
        <v>26.380027739251037</v>
      </c>
      <c r="M337">
        <v>3700.6</v>
      </c>
    </row>
    <row r="338" spans="1:15" x14ac:dyDescent="0.25">
      <c r="A338" s="8" t="s">
        <v>77</v>
      </c>
      <c r="B338" s="1" t="s">
        <v>11</v>
      </c>
      <c r="C338" s="1">
        <v>2018</v>
      </c>
      <c r="D338" s="1">
        <v>1</v>
      </c>
      <c r="E338" s="1">
        <v>1</v>
      </c>
      <c r="F338" s="1">
        <v>1</v>
      </c>
      <c r="G338" s="1">
        <v>0</v>
      </c>
      <c r="H338" s="2">
        <v>1.9891999999999999</v>
      </c>
      <c r="I338" s="2">
        <v>1.061229914220128</v>
      </c>
      <c r="J338" s="3">
        <v>39486</v>
      </c>
      <c r="K338">
        <v>0.34396671289875175</v>
      </c>
      <c r="L338">
        <v>26.380027739251037</v>
      </c>
      <c r="M338">
        <v>3768</v>
      </c>
    </row>
    <row r="339" spans="1:15" x14ac:dyDescent="0.25">
      <c r="A339" s="8" t="s">
        <v>78</v>
      </c>
      <c r="B339" s="1" t="s">
        <v>11</v>
      </c>
      <c r="C339" s="1">
        <v>2014</v>
      </c>
      <c r="D339" s="1">
        <v>3</v>
      </c>
      <c r="E339" s="1">
        <v>3</v>
      </c>
      <c r="F339" s="1">
        <v>3</v>
      </c>
      <c r="G339" s="1">
        <v>0</v>
      </c>
      <c r="H339" s="2">
        <v>1.0151670951156813</v>
      </c>
      <c r="I339" s="2">
        <v>0.99359718104078032</v>
      </c>
      <c r="J339" s="3">
        <v>11408</v>
      </c>
      <c r="K339">
        <v>5.6774424644040478</v>
      </c>
      <c r="L339">
        <v>7.2445598638846604</v>
      </c>
      <c r="M339">
        <v>9.8000000000000007</v>
      </c>
    </row>
    <row r="340" spans="1:15" x14ac:dyDescent="0.25">
      <c r="A340" s="8" t="s">
        <v>78</v>
      </c>
      <c r="B340" s="1" t="s">
        <v>11</v>
      </c>
      <c r="C340" s="1">
        <v>2015</v>
      </c>
      <c r="D340" s="1">
        <v>3</v>
      </c>
      <c r="E340" s="1">
        <v>3</v>
      </c>
      <c r="F340" s="1">
        <v>3</v>
      </c>
      <c r="G340" s="1">
        <v>0</v>
      </c>
      <c r="H340" s="2">
        <v>1.3472999999999999</v>
      </c>
      <c r="I340" s="2">
        <v>0.96947529682114131</v>
      </c>
      <c r="J340" s="3">
        <v>11411</v>
      </c>
      <c r="K340">
        <v>5.6774424644040478</v>
      </c>
      <c r="L340">
        <v>7.2445598638846604</v>
      </c>
      <c r="M340">
        <v>9.8000000000000007</v>
      </c>
    </row>
    <row r="341" spans="1:15" x14ac:dyDescent="0.25">
      <c r="A341" t="s">
        <v>78</v>
      </c>
      <c r="B341" s="1" t="s">
        <v>11</v>
      </c>
      <c r="C341" s="1">
        <v>2016</v>
      </c>
      <c r="D341" s="1">
        <v>3</v>
      </c>
      <c r="E341" s="1">
        <v>3</v>
      </c>
      <c r="F341" s="1">
        <v>3</v>
      </c>
      <c r="G341" s="1">
        <v>0</v>
      </c>
      <c r="H341" s="2">
        <v>1</v>
      </c>
      <c r="I341" s="2">
        <v>1.1828583672594815</v>
      </c>
      <c r="J341" s="6">
        <v>11167</v>
      </c>
      <c r="K341" s="7">
        <v>5.6774424644040478</v>
      </c>
      <c r="L341" s="7">
        <v>7.2445598638846604</v>
      </c>
      <c r="M341">
        <v>9.8000000000000007</v>
      </c>
      <c r="O341" s="7"/>
    </row>
    <row r="342" spans="1:15" x14ac:dyDescent="0.25">
      <c r="A342" t="s">
        <v>78</v>
      </c>
      <c r="B342" s="1" t="s">
        <v>11</v>
      </c>
      <c r="C342" s="1">
        <v>2017</v>
      </c>
      <c r="D342" s="1">
        <v>3</v>
      </c>
      <c r="E342" s="1">
        <v>3</v>
      </c>
      <c r="F342" s="1">
        <v>3</v>
      </c>
      <c r="G342" s="1">
        <v>0</v>
      </c>
      <c r="H342" s="2">
        <v>1.0079</v>
      </c>
      <c r="I342" s="2">
        <v>1.2423737554048158</v>
      </c>
      <c r="J342" s="3">
        <v>11424</v>
      </c>
      <c r="K342">
        <v>5.6774424644040478</v>
      </c>
      <c r="L342">
        <v>7.2445598638846604</v>
      </c>
      <c r="M342">
        <v>9.8000000000000007</v>
      </c>
    </row>
    <row r="343" spans="1:15" x14ac:dyDescent="0.25">
      <c r="A343" s="8" t="s">
        <v>78</v>
      </c>
      <c r="B343" s="1" t="s">
        <v>11</v>
      </c>
      <c r="C343" s="1">
        <v>2018</v>
      </c>
      <c r="D343" s="1">
        <v>3</v>
      </c>
      <c r="E343" s="1">
        <v>3</v>
      </c>
      <c r="F343" s="1">
        <v>3</v>
      </c>
      <c r="G343" s="1">
        <v>0</v>
      </c>
      <c r="H343" s="2">
        <v>1</v>
      </c>
      <c r="I343" s="2">
        <v>1.1475507989372451</v>
      </c>
      <c r="J343" s="3">
        <v>11438</v>
      </c>
      <c r="K343">
        <v>5.6774424644040478</v>
      </c>
      <c r="L343">
        <v>7.2445598638846604</v>
      </c>
      <c r="M343">
        <v>9.8000000000000007</v>
      </c>
    </row>
    <row r="344" spans="1:15" x14ac:dyDescent="0.25">
      <c r="A344" s="8" t="s">
        <v>79</v>
      </c>
      <c r="B344" s="1" t="s">
        <v>11</v>
      </c>
      <c r="C344" s="1">
        <v>2014</v>
      </c>
      <c r="D344" s="1">
        <v>2</v>
      </c>
      <c r="E344" s="1">
        <v>2</v>
      </c>
      <c r="F344" s="1">
        <v>2</v>
      </c>
      <c r="G344" s="1">
        <v>0</v>
      </c>
      <c r="H344" s="2">
        <v>1.3308150640020526</v>
      </c>
      <c r="I344" s="2">
        <v>1.0364803555445821</v>
      </c>
      <c r="J344" s="3">
        <v>44327</v>
      </c>
      <c r="K344">
        <v>5.0169240042657766</v>
      </c>
      <c r="L344">
        <v>4.6390318542217281</v>
      </c>
      <c r="M344">
        <v>34.4</v>
      </c>
    </row>
    <row r="345" spans="1:15" x14ac:dyDescent="0.25">
      <c r="A345" s="8" t="s">
        <v>79</v>
      </c>
      <c r="B345" s="1" t="s">
        <v>11</v>
      </c>
      <c r="C345" s="1">
        <v>2015</v>
      </c>
      <c r="D345" s="1">
        <v>2</v>
      </c>
      <c r="E345" s="1">
        <v>2</v>
      </c>
      <c r="F345" s="1">
        <v>2</v>
      </c>
      <c r="G345" s="1">
        <v>0</v>
      </c>
      <c r="H345" s="2">
        <v>0.97840000000000005</v>
      </c>
      <c r="I345" s="2">
        <v>1.008583480478713</v>
      </c>
      <c r="J345" s="3">
        <v>44212</v>
      </c>
      <c r="K345">
        <v>5.0169240042657766</v>
      </c>
      <c r="L345">
        <v>4.6390318542217281</v>
      </c>
      <c r="M345">
        <v>34.299999999999997</v>
      </c>
    </row>
    <row r="346" spans="1:15" x14ac:dyDescent="0.25">
      <c r="A346" t="s">
        <v>79</v>
      </c>
      <c r="B346" s="1" t="s">
        <v>11</v>
      </c>
      <c r="C346" s="1">
        <v>2016</v>
      </c>
      <c r="D346" s="1">
        <v>2</v>
      </c>
      <c r="E346" s="1">
        <v>2</v>
      </c>
      <c r="F346" s="1">
        <v>2</v>
      </c>
      <c r="G346" s="1">
        <v>0</v>
      </c>
      <c r="H346" s="2">
        <v>0.99029999999999996</v>
      </c>
      <c r="I346" s="2">
        <v>1.1419875814394518</v>
      </c>
      <c r="J346" s="6">
        <v>43134</v>
      </c>
      <c r="K346" s="7">
        <v>5.0169240042657766</v>
      </c>
      <c r="L346" s="7">
        <v>4.6390318542217281</v>
      </c>
      <c r="M346">
        <v>34.299999999999997</v>
      </c>
      <c r="O346" s="7"/>
    </row>
    <row r="347" spans="1:15" x14ac:dyDescent="0.25">
      <c r="A347" t="s">
        <v>79</v>
      </c>
      <c r="B347" s="1" t="s">
        <v>11</v>
      </c>
      <c r="C347" s="1">
        <v>2017</v>
      </c>
      <c r="D347" s="1">
        <v>2</v>
      </c>
      <c r="E347" s="1">
        <v>2</v>
      </c>
      <c r="F347" s="1">
        <v>2</v>
      </c>
      <c r="G347" s="1">
        <v>0</v>
      </c>
      <c r="H347" s="2">
        <v>0.93</v>
      </c>
      <c r="I347" s="2">
        <v>1.1832428466617755</v>
      </c>
      <c r="J347" s="3">
        <v>43930</v>
      </c>
      <c r="K347">
        <v>5.0169240042657766</v>
      </c>
      <c r="L347">
        <v>4.6390318542217281</v>
      </c>
      <c r="M347">
        <v>34.1</v>
      </c>
    </row>
    <row r="348" spans="1:15" x14ac:dyDescent="0.25">
      <c r="A348" s="8" t="s">
        <v>79</v>
      </c>
      <c r="B348" s="1" t="s">
        <v>11</v>
      </c>
      <c r="C348" s="1">
        <v>2018</v>
      </c>
      <c r="D348" s="1">
        <v>2</v>
      </c>
      <c r="E348" s="1">
        <v>2</v>
      </c>
      <c r="F348" s="1">
        <v>2</v>
      </c>
      <c r="G348" s="1">
        <v>0</v>
      </c>
      <c r="H348" s="2">
        <v>0.9264</v>
      </c>
      <c r="I348" s="2">
        <v>1.0146474863265154</v>
      </c>
      <c r="J348" s="3">
        <v>43843</v>
      </c>
      <c r="K348">
        <v>5.0169240042657766</v>
      </c>
      <c r="L348">
        <v>4.6390318542217281</v>
      </c>
      <c r="M348">
        <v>34</v>
      </c>
    </row>
    <row r="349" spans="1:15" x14ac:dyDescent="0.25">
      <c r="A349" s="8" t="s">
        <v>80</v>
      </c>
      <c r="B349" s="1" t="s">
        <v>11</v>
      </c>
      <c r="C349" s="1">
        <v>2014</v>
      </c>
      <c r="D349" s="1">
        <v>2</v>
      </c>
      <c r="E349" s="1">
        <v>3</v>
      </c>
      <c r="F349" s="1">
        <v>2.5</v>
      </c>
      <c r="G349" s="1">
        <v>1</v>
      </c>
      <c r="H349" s="2">
        <v>1.0340221564390697</v>
      </c>
      <c r="I349" s="2">
        <v>1.0799165720622013</v>
      </c>
      <c r="J349" s="3">
        <v>21283</v>
      </c>
      <c r="K349">
        <v>5.7420578473210053</v>
      </c>
      <c r="L349">
        <v>3.3760075865339023</v>
      </c>
      <c r="M349">
        <v>4.7</v>
      </c>
    </row>
    <row r="350" spans="1:15" x14ac:dyDescent="0.25">
      <c r="A350" s="8" t="s">
        <v>80</v>
      </c>
      <c r="B350" s="1" t="s">
        <v>11</v>
      </c>
      <c r="C350" s="1">
        <v>2015</v>
      </c>
      <c r="D350" s="1">
        <v>2</v>
      </c>
      <c r="E350" s="1">
        <v>3</v>
      </c>
      <c r="F350" s="1">
        <v>2.5</v>
      </c>
      <c r="G350" s="1">
        <v>1</v>
      </c>
      <c r="H350" s="2">
        <v>0.75800000000000001</v>
      </c>
      <c r="I350" s="2">
        <v>1.0493754047216706</v>
      </c>
      <c r="J350" s="3">
        <v>21400</v>
      </c>
      <c r="K350">
        <v>5.7420578473210053</v>
      </c>
      <c r="L350">
        <v>3.3760075865339023</v>
      </c>
      <c r="M350">
        <v>4.7</v>
      </c>
    </row>
    <row r="351" spans="1:15" x14ac:dyDescent="0.25">
      <c r="A351" t="s">
        <v>80</v>
      </c>
      <c r="B351" s="1" t="s">
        <v>11</v>
      </c>
      <c r="C351" s="1">
        <v>2016</v>
      </c>
      <c r="D351" s="1">
        <v>2</v>
      </c>
      <c r="E351" s="1">
        <v>3</v>
      </c>
      <c r="F351" s="1">
        <v>2.5</v>
      </c>
      <c r="G351" s="1">
        <v>1</v>
      </c>
      <c r="H351" s="2">
        <v>0.78839999999999999</v>
      </c>
      <c r="I351" s="2">
        <v>1.0623791952205237</v>
      </c>
      <c r="J351" s="6">
        <v>21090</v>
      </c>
      <c r="K351" s="7">
        <v>5.7420578473210053</v>
      </c>
      <c r="L351" s="7">
        <v>3.3760075865339023</v>
      </c>
      <c r="M351">
        <v>4.8</v>
      </c>
      <c r="O351" s="7"/>
    </row>
    <row r="352" spans="1:15" x14ac:dyDescent="0.25">
      <c r="A352" t="s">
        <v>80</v>
      </c>
      <c r="B352" s="1" t="s">
        <v>11</v>
      </c>
      <c r="C352" s="1">
        <v>2017</v>
      </c>
      <c r="D352" s="1">
        <v>2</v>
      </c>
      <c r="E352" s="1">
        <v>3</v>
      </c>
      <c r="F352" s="1">
        <v>2.5</v>
      </c>
      <c r="G352" s="1">
        <v>1</v>
      </c>
      <c r="H352" s="2">
        <v>0.81530000000000002</v>
      </c>
      <c r="I352" s="2">
        <v>1.1887961160985205</v>
      </c>
      <c r="J352" s="3">
        <v>21577</v>
      </c>
      <c r="K352">
        <v>5.7420578473210053</v>
      </c>
      <c r="L352">
        <v>3.3760075865339023</v>
      </c>
      <c r="M352">
        <v>4.8</v>
      </c>
    </row>
    <row r="353" spans="1:15" x14ac:dyDescent="0.25">
      <c r="A353" s="8" t="s">
        <v>80</v>
      </c>
      <c r="B353" s="1" t="s">
        <v>11</v>
      </c>
      <c r="C353" s="1">
        <v>2018</v>
      </c>
      <c r="D353" s="1">
        <v>2</v>
      </c>
      <c r="E353" s="1">
        <v>3</v>
      </c>
      <c r="F353" s="1">
        <v>2.5</v>
      </c>
      <c r="G353" s="1">
        <v>1</v>
      </c>
      <c r="H353" s="2">
        <v>0.74890000000000001</v>
      </c>
      <c r="I353" s="2">
        <v>0.98053183590124371</v>
      </c>
      <c r="J353" s="3">
        <v>21636</v>
      </c>
      <c r="K353">
        <v>5.7420578473210053</v>
      </c>
      <c r="L353">
        <v>3.3760075865339023</v>
      </c>
      <c r="M353">
        <v>4.8</v>
      </c>
    </row>
    <row r="354" spans="1:15" x14ac:dyDescent="0.25">
      <c r="A354" s="8" t="s">
        <v>81</v>
      </c>
      <c r="B354" s="1" t="s">
        <v>11</v>
      </c>
      <c r="C354" s="1">
        <v>2014</v>
      </c>
      <c r="D354" s="1">
        <v>1</v>
      </c>
      <c r="E354" s="1">
        <v>2</v>
      </c>
      <c r="F354" s="1">
        <v>1.5</v>
      </c>
      <c r="G354" s="1">
        <v>1</v>
      </c>
      <c r="H354" s="2">
        <v>1.1832726835283149</v>
      </c>
      <c r="I354" s="2">
        <v>1.2275323749083729</v>
      </c>
      <c r="J354" s="3">
        <v>200725</v>
      </c>
      <c r="K354">
        <v>1.472128419713209</v>
      </c>
      <c r="L354">
        <v>51.921401654186852</v>
      </c>
      <c r="M354">
        <v>656.5</v>
      </c>
    </row>
    <row r="355" spans="1:15" x14ac:dyDescent="0.25">
      <c r="A355" s="8" t="s">
        <v>81</v>
      </c>
      <c r="B355" s="1" t="s">
        <v>11</v>
      </c>
      <c r="C355" s="1">
        <v>2015</v>
      </c>
      <c r="D355" s="1">
        <v>1</v>
      </c>
      <c r="E355" s="1">
        <v>2</v>
      </c>
      <c r="F355" s="1">
        <v>1.5</v>
      </c>
      <c r="G355" s="1">
        <v>1</v>
      </c>
      <c r="H355" s="2">
        <v>1.1029</v>
      </c>
      <c r="I355" s="2">
        <v>1.4682765826091086</v>
      </c>
      <c r="J355" s="3">
        <v>206205</v>
      </c>
      <c r="K355">
        <v>1.472128419713209</v>
      </c>
      <c r="L355">
        <v>51.921401654186852</v>
      </c>
      <c r="M355">
        <v>674.4</v>
      </c>
    </row>
    <row r="356" spans="1:15" x14ac:dyDescent="0.25">
      <c r="A356" t="s">
        <v>81</v>
      </c>
      <c r="B356" s="1" t="s">
        <v>11</v>
      </c>
      <c r="C356" s="1">
        <v>2016</v>
      </c>
      <c r="D356" s="1">
        <v>1</v>
      </c>
      <c r="E356" s="1">
        <v>2</v>
      </c>
      <c r="F356" s="1">
        <v>1.5</v>
      </c>
      <c r="G356" s="1">
        <v>1</v>
      </c>
      <c r="H356" s="2">
        <v>1.0598999999999998</v>
      </c>
      <c r="I356" s="2">
        <v>1.9048045532025539</v>
      </c>
      <c r="J356" s="6">
        <v>204330</v>
      </c>
      <c r="K356" s="7">
        <v>1.472128419713209</v>
      </c>
      <c r="L356" s="7">
        <v>51.921401654186852</v>
      </c>
      <c r="M356">
        <v>693.3</v>
      </c>
      <c r="O356" s="7"/>
    </row>
    <row r="357" spans="1:15" x14ac:dyDescent="0.25">
      <c r="A357" t="s">
        <v>81</v>
      </c>
      <c r="B357" s="1" t="s">
        <v>11</v>
      </c>
      <c r="C357" s="1">
        <v>2017</v>
      </c>
      <c r="D357" s="1">
        <v>1</v>
      </c>
      <c r="E357" s="1">
        <v>2</v>
      </c>
      <c r="F357" s="1">
        <v>1.5</v>
      </c>
      <c r="G357" s="1">
        <v>1</v>
      </c>
      <c r="H357" s="2">
        <v>1.0449999999999999</v>
      </c>
      <c r="I357" s="2">
        <v>1.5909831430794812</v>
      </c>
      <c r="J357" s="3">
        <v>217788</v>
      </c>
      <c r="K357">
        <v>1.472128419713209</v>
      </c>
      <c r="L357">
        <v>51.921401654186852</v>
      </c>
      <c r="M357">
        <v>712.3</v>
      </c>
    </row>
    <row r="358" spans="1:15" x14ac:dyDescent="0.25">
      <c r="A358" s="8" t="s">
        <v>81</v>
      </c>
      <c r="B358" s="1" t="s">
        <v>11</v>
      </c>
      <c r="C358" s="1">
        <v>2018</v>
      </c>
      <c r="D358" s="1">
        <v>1</v>
      </c>
      <c r="E358" s="1">
        <v>2</v>
      </c>
      <c r="F358" s="1">
        <v>1.5</v>
      </c>
      <c r="G358" s="1">
        <v>1</v>
      </c>
      <c r="H358" s="2">
        <v>1.0590000000000002</v>
      </c>
      <c r="I358" s="2">
        <v>1.0563888262731702</v>
      </c>
      <c r="J358" s="3">
        <v>223304</v>
      </c>
      <c r="K358">
        <v>1.472128419713209</v>
      </c>
      <c r="L358">
        <v>51.921401654186852</v>
      </c>
      <c r="M358">
        <v>730.4</v>
      </c>
    </row>
    <row r="359" spans="1:15" x14ac:dyDescent="0.25">
      <c r="A359" s="8" t="s">
        <v>82</v>
      </c>
      <c r="B359" s="1" t="s">
        <v>11</v>
      </c>
      <c r="C359" s="1">
        <v>2014</v>
      </c>
      <c r="D359" s="1">
        <v>2</v>
      </c>
      <c r="E359" s="1">
        <v>3</v>
      </c>
      <c r="F359" s="1">
        <v>2.5</v>
      </c>
      <c r="G359" s="1">
        <v>1</v>
      </c>
      <c r="H359" s="2">
        <v>0.81093236464279539</v>
      </c>
      <c r="I359" s="2">
        <v>1.1013895543842838</v>
      </c>
      <c r="J359" s="3">
        <v>7831</v>
      </c>
      <c r="K359">
        <v>12.498374300949408</v>
      </c>
      <c r="L359">
        <v>0.85836909871244638</v>
      </c>
      <c r="M359">
        <v>1.5</v>
      </c>
    </row>
    <row r="360" spans="1:15" x14ac:dyDescent="0.25">
      <c r="A360" s="8" t="s">
        <v>82</v>
      </c>
      <c r="B360" s="1" t="s">
        <v>11</v>
      </c>
      <c r="C360" s="1">
        <v>2015</v>
      </c>
      <c r="D360" s="1">
        <v>2</v>
      </c>
      <c r="E360" s="1">
        <v>3</v>
      </c>
      <c r="F360" s="1">
        <v>2.5</v>
      </c>
      <c r="G360" s="1">
        <v>1</v>
      </c>
      <c r="H360" s="2">
        <v>1.1443000000000001</v>
      </c>
      <c r="I360" s="2">
        <v>1.0311481036553973</v>
      </c>
      <c r="J360" s="3">
        <v>7837</v>
      </c>
      <c r="K360">
        <v>12.498374300949408</v>
      </c>
      <c r="L360">
        <v>0.85836909871244638</v>
      </c>
      <c r="M360">
        <v>1.5</v>
      </c>
    </row>
    <row r="361" spans="1:15" x14ac:dyDescent="0.25">
      <c r="A361" t="s">
        <v>82</v>
      </c>
      <c r="B361" s="1" t="s">
        <v>11</v>
      </c>
      <c r="C361" s="1">
        <v>2016</v>
      </c>
      <c r="D361" s="1">
        <v>2</v>
      </c>
      <c r="E361" s="1">
        <v>3</v>
      </c>
      <c r="F361" s="1">
        <v>2.5</v>
      </c>
      <c r="G361" s="1">
        <v>1</v>
      </c>
      <c r="H361" s="2">
        <v>0</v>
      </c>
      <c r="I361" s="2">
        <v>1.2346598625457839</v>
      </c>
      <c r="J361" s="6">
        <v>7689</v>
      </c>
      <c r="K361" s="7">
        <v>12.498374300949408</v>
      </c>
      <c r="L361" s="7">
        <v>0.85836909871244638</v>
      </c>
      <c r="M361">
        <v>1.5</v>
      </c>
      <c r="O361" s="7"/>
    </row>
    <row r="362" spans="1:15" x14ac:dyDescent="0.25">
      <c r="A362" t="s">
        <v>82</v>
      </c>
      <c r="B362" s="1" t="s">
        <v>11</v>
      </c>
      <c r="C362" s="1">
        <v>2017</v>
      </c>
      <c r="D362" s="1">
        <v>2</v>
      </c>
      <c r="E362" s="1">
        <v>3</v>
      </c>
      <c r="F362" s="1">
        <v>2.5</v>
      </c>
      <c r="G362" s="1">
        <v>1</v>
      </c>
      <c r="H362" s="2">
        <v>0</v>
      </c>
      <c r="I362" s="2">
        <v>1.167544372927638</v>
      </c>
      <c r="J362" s="3">
        <v>7871</v>
      </c>
      <c r="K362">
        <v>12.498374300949408</v>
      </c>
      <c r="L362">
        <v>0.85836909871244638</v>
      </c>
      <c r="M362">
        <v>1.5</v>
      </c>
    </row>
    <row r="363" spans="1:15" x14ac:dyDescent="0.25">
      <c r="A363" s="8" t="s">
        <v>82</v>
      </c>
      <c r="B363" s="1" t="s">
        <v>11</v>
      </c>
      <c r="C363" s="1">
        <v>2018</v>
      </c>
      <c r="D363" s="1">
        <v>2</v>
      </c>
      <c r="E363" s="1">
        <v>3</v>
      </c>
      <c r="F363" s="1">
        <v>2.5</v>
      </c>
      <c r="G363" s="1">
        <v>1</v>
      </c>
      <c r="H363" s="2">
        <v>0.96730000000000005</v>
      </c>
      <c r="I363" s="2">
        <v>0.74020225407742857</v>
      </c>
      <c r="J363" s="3">
        <v>7893</v>
      </c>
      <c r="K363">
        <v>12.498374300949408</v>
      </c>
      <c r="L363">
        <v>0.85836909871244638</v>
      </c>
      <c r="M363">
        <v>1.6</v>
      </c>
    </row>
    <row r="364" spans="1:15" x14ac:dyDescent="0.25">
      <c r="A364" s="8" t="s">
        <v>83</v>
      </c>
      <c r="B364" s="1" t="s">
        <v>11</v>
      </c>
      <c r="C364" s="1">
        <v>2014</v>
      </c>
      <c r="D364" s="1">
        <v>2</v>
      </c>
      <c r="E364" s="1">
        <v>3</v>
      </c>
      <c r="F364" s="1">
        <v>2.5</v>
      </c>
      <c r="G364" s="1">
        <v>1</v>
      </c>
      <c r="H364" s="2">
        <v>0.8729778310365488</v>
      </c>
      <c r="I364" s="2">
        <v>1.3449194300173126</v>
      </c>
      <c r="J364" s="3">
        <v>3117</v>
      </c>
      <c r="K364">
        <v>3.5885933995514256</v>
      </c>
      <c r="L364">
        <v>0.99327138737584109</v>
      </c>
      <c r="M364">
        <v>1.1000000000000001</v>
      </c>
    </row>
    <row r="365" spans="1:15" x14ac:dyDescent="0.25">
      <c r="A365" s="8" t="s">
        <v>83</v>
      </c>
      <c r="B365" s="1" t="s">
        <v>11</v>
      </c>
      <c r="C365" s="1">
        <v>2015</v>
      </c>
      <c r="D365" s="1">
        <v>2</v>
      </c>
      <c r="E365" s="1">
        <v>3</v>
      </c>
      <c r="F365" s="1">
        <v>2.5</v>
      </c>
      <c r="G365" s="1">
        <v>1</v>
      </c>
      <c r="H365" s="2">
        <v>1.2181999999999999</v>
      </c>
      <c r="I365" s="2">
        <v>1.1545433418545201</v>
      </c>
      <c r="J365" s="3">
        <v>3121</v>
      </c>
      <c r="K365">
        <v>3.5885933995514256</v>
      </c>
      <c r="L365">
        <v>0.99327138737584109</v>
      </c>
      <c r="M365">
        <v>1.1000000000000001</v>
      </c>
    </row>
    <row r="366" spans="1:15" x14ac:dyDescent="0.25">
      <c r="A366" t="s">
        <v>83</v>
      </c>
      <c r="B366" s="1" t="s">
        <v>11</v>
      </c>
      <c r="C366" s="1">
        <v>2016</v>
      </c>
      <c r="D366" s="1">
        <v>2</v>
      </c>
      <c r="E366" s="1">
        <v>3</v>
      </c>
      <c r="F366" s="1">
        <v>2.5</v>
      </c>
      <c r="G366" s="1">
        <v>1</v>
      </c>
      <c r="H366" s="2">
        <v>1.1395999999999999</v>
      </c>
      <c r="I366" s="2">
        <v>1.3478493473143591</v>
      </c>
      <c r="J366" s="6">
        <v>3121</v>
      </c>
      <c r="K366" s="7">
        <v>3.5885933995514256</v>
      </c>
      <c r="L366" s="7">
        <v>0.99327138737584109</v>
      </c>
      <c r="M366">
        <v>1.1000000000000001</v>
      </c>
      <c r="O366" s="7"/>
    </row>
    <row r="367" spans="1:15" x14ac:dyDescent="0.25">
      <c r="A367" t="s">
        <v>83</v>
      </c>
      <c r="B367" s="1" t="s">
        <v>11</v>
      </c>
      <c r="C367" s="1">
        <v>2017</v>
      </c>
      <c r="D367" s="1">
        <v>2</v>
      </c>
      <c r="E367" s="1">
        <v>3</v>
      </c>
      <c r="F367" s="1">
        <v>2.5</v>
      </c>
      <c r="G367" s="1">
        <v>1</v>
      </c>
      <c r="H367" s="2">
        <v>1.0646</v>
      </c>
      <c r="I367" s="2">
        <v>1.6927964030886522</v>
      </c>
      <c r="J367" s="3">
        <v>3240</v>
      </c>
      <c r="K367">
        <v>3.5885933995514256</v>
      </c>
      <c r="L367">
        <v>0.99327138737584109</v>
      </c>
      <c r="M367">
        <v>1.1000000000000001</v>
      </c>
    </row>
    <row r="368" spans="1:15" x14ac:dyDescent="0.25">
      <c r="A368" s="8" t="s">
        <v>83</v>
      </c>
      <c r="B368" s="1" t="s">
        <v>11</v>
      </c>
      <c r="C368" s="1">
        <v>2018</v>
      </c>
      <c r="D368" s="1">
        <v>2</v>
      </c>
      <c r="E368" s="1">
        <v>3</v>
      </c>
      <c r="F368" s="1">
        <v>2.5</v>
      </c>
      <c r="G368" s="1">
        <v>1</v>
      </c>
      <c r="H368" s="2">
        <v>1.1142000000000001</v>
      </c>
      <c r="I368" s="2">
        <v>1.0917223650385603</v>
      </c>
      <c r="J368" s="3">
        <v>3295</v>
      </c>
      <c r="K368">
        <v>3.5885933995514256</v>
      </c>
      <c r="L368">
        <v>0.99327138737584109</v>
      </c>
      <c r="M368">
        <v>1.1000000000000001</v>
      </c>
    </row>
    <row r="369" spans="1:15" x14ac:dyDescent="0.25">
      <c r="A369" s="8" t="s">
        <v>84</v>
      </c>
      <c r="B369" s="1" t="s">
        <v>11</v>
      </c>
      <c r="C369" s="1">
        <v>2014</v>
      </c>
      <c r="D369" s="1">
        <v>1</v>
      </c>
      <c r="E369" s="1">
        <v>2</v>
      </c>
      <c r="F369" s="1">
        <v>1.5</v>
      </c>
      <c r="G369" s="1">
        <v>1</v>
      </c>
      <c r="H369" s="2">
        <v>1.343305723822475</v>
      </c>
      <c r="I369" s="2">
        <v>1.6813372490646499</v>
      </c>
      <c r="J369" s="3">
        <v>75695</v>
      </c>
      <c r="K369">
        <v>5.2867140103742223</v>
      </c>
      <c r="L369">
        <v>3.972473385333799</v>
      </c>
      <c r="M369">
        <v>193.3</v>
      </c>
    </row>
    <row r="370" spans="1:15" x14ac:dyDescent="0.25">
      <c r="A370" s="8" t="s">
        <v>84</v>
      </c>
      <c r="B370" s="1" t="s">
        <v>11</v>
      </c>
      <c r="C370" s="1">
        <v>2015</v>
      </c>
      <c r="D370" s="1">
        <v>1</v>
      </c>
      <c r="E370" s="1">
        <v>2</v>
      </c>
      <c r="F370" s="1">
        <v>1.5</v>
      </c>
      <c r="G370" s="1">
        <v>1</v>
      </c>
      <c r="H370" s="2">
        <v>0.66579999999999995</v>
      </c>
      <c r="I370" s="2">
        <v>1.5098288046182939</v>
      </c>
      <c r="J370" s="3">
        <v>77374</v>
      </c>
      <c r="K370">
        <v>5.2867140103742223</v>
      </c>
      <c r="L370">
        <v>3.972473385333799</v>
      </c>
      <c r="M370">
        <v>197.6</v>
      </c>
    </row>
    <row r="371" spans="1:15" x14ac:dyDescent="0.25">
      <c r="A371" t="s">
        <v>84</v>
      </c>
      <c r="B371" s="1" t="s">
        <v>11</v>
      </c>
      <c r="C371" s="1">
        <v>2016</v>
      </c>
      <c r="D371" s="1">
        <v>1</v>
      </c>
      <c r="E371" s="1">
        <v>2</v>
      </c>
      <c r="F371" s="1">
        <v>1.5</v>
      </c>
      <c r="G371" s="1">
        <v>1</v>
      </c>
      <c r="H371" s="2">
        <v>0.89859999999999995</v>
      </c>
      <c r="I371" s="2">
        <v>1.5449470559567586</v>
      </c>
      <c r="J371" s="6">
        <v>77307</v>
      </c>
      <c r="K371" s="7">
        <v>5.2867140103742223</v>
      </c>
      <c r="L371" s="7">
        <v>3.972473385333799</v>
      </c>
      <c r="M371">
        <v>201.9</v>
      </c>
      <c r="O371" s="7"/>
    </row>
    <row r="372" spans="1:15" x14ac:dyDescent="0.25">
      <c r="A372" t="s">
        <v>84</v>
      </c>
      <c r="B372" s="1" t="s">
        <v>11</v>
      </c>
      <c r="C372" s="1">
        <v>2017</v>
      </c>
      <c r="D372" s="1">
        <v>1</v>
      </c>
      <c r="E372" s="1">
        <v>2</v>
      </c>
      <c r="F372" s="1">
        <v>1.5</v>
      </c>
      <c r="G372" s="1">
        <v>1</v>
      </c>
      <c r="H372" s="2">
        <v>1.3378000000000001</v>
      </c>
      <c r="I372" s="2">
        <v>1.5234058730452293</v>
      </c>
      <c r="J372" s="3">
        <v>81049</v>
      </c>
      <c r="K372">
        <v>5.2867140103742223</v>
      </c>
      <c r="L372">
        <v>3.972473385333799</v>
      </c>
      <c r="M372">
        <v>207</v>
      </c>
    </row>
    <row r="373" spans="1:15" x14ac:dyDescent="0.25">
      <c r="A373" s="8" t="s">
        <v>84</v>
      </c>
      <c r="B373" s="1" t="s">
        <v>11</v>
      </c>
      <c r="C373" s="1">
        <v>2018</v>
      </c>
      <c r="D373" s="1">
        <v>1</v>
      </c>
      <c r="E373" s="1">
        <v>2</v>
      </c>
      <c r="F373" s="1">
        <v>1.5</v>
      </c>
      <c r="G373" s="1">
        <v>1</v>
      </c>
      <c r="H373" s="2">
        <f>11049/10612</f>
        <v>1.0411797964568412</v>
      </c>
      <c r="I373" s="2">
        <f>99816/93604</f>
        <v>1.0663646852698603</v>
      </c>
      <c r="J373" s="3">
        <v>83203</v>
      </c>
      <c r="K373">
        <v>5.2867140103742223</v>
      </c>
      <c r="L373">
        <v>3.972473385333799</v>
      </c>
      <c r="M373">
        <v>212.5</v>
      </c>
    </row>
    <row r="374" spans="1:15" x14ac:dyDescent="0.25">
      <c r="A374" s="8" t="s">
        <v>85</v>
      </c>
      <c r="B374" s="1" t="s">
        <v>11</v>
      </c>
      <c r="C374" s="1">
        <v>2014</v>
      </c>
      <c r="D374" s="1">
        <v>2</v>
      </c>
      <c r="E374" s="1">
        <v>3</v>
      </c>
      <c r="F374" s="1">
        <v>2.5</v>
      </c>
      <c r="G374" s="1">
        <v>1</v>
      </c>
      <c r="J374" s="3">
        <v>90468</v>
      </c>
      <c r="K374">
        <v>6.2</v>
      </c>
      <c r="L374">
        <v>2.6</v>
      </c>
      <c r="M374">
        <v>9</v>
      </c>
    </row>
    <row r="375" spans="1:15" x14ac:dyDescent="0.25">
      <c r="A375" s="8" t="s">
        <v>85</v>
      </c>
      <c r="B375" s="1" t="s">
        <v>11</v>
      </c>
      <c r="C375" s="1">
        <v>2015</v>
      </c>
      <c r="D375" s="1">
        <v>2</v>
      </c>
      <c r="E375" s="1">
        <v>3</v>
      </c>
      <c r="F375" s="1">
        <v>2.5</v>
      </c>
      <c r="G375" s="1">
        <v>1</v>
      </c>
      <c r="J375" s="3">
        <v>91038</v>
      </c>
      <c r="K375">
        <v>6.2</v>
      </c>
      <c r="L375">
        <v>2.6</v>
      </c>
      <c r="M375">
        <v>9.1</v>
      </c>
    </row>
    <row r="376" spans="1:15" x14ac:dyDescent="0.25">
      <c r="A376" t="s">
        <v>85</v>
      </c>
      <c r="B376" s="1" t="s">
        <v>11</v>
      </c>
      <c r="C376" s="1">
        <v>2016</v>
      </c>
      <c r="D376" s="1">
        <v>2</v>
      </c>
      <c r="E376" s="1">
        <v>3</v>
      </c>
      <c r="F376" s="1">
        <v>2.5</v>
      </c>
      <c r="G376" s="1">
        <v>1</v>
      </c>
      <c r="J376" s="6">
        <v>92500</v>
      </c>
      <c r="K376" s="7">
        <v>6.2</v>
      </c>
      <c r="L376" s="7">
        <v>2.6</v>
      </c>
      <c r="M376">
        <v>9.1999999999999993</v>
      </c>
      <c r="O376" s="7"/>
    </row>
    <row r="377" spans="1:15" x14ac:dyDescent="0.25">
      <c r="A377" t="s">
        <v>85</v>
      </c>
      <c r="B377" s="1" t="s">
        <v>11</v>
      </c>
      <c r="C377" s="1">
        <v>2017</v>
      </c>
      <c r="D377" s="1">
        <v>2</v>
      </c>
      <c r="E377" s="1">
        <v>3</v>
      </c>
      <c r="F377" s="1">
        <v>2.5</v>
      </c>
      <c r="G377" s="1">
        <v>1</v>
      </c>
      <c r="H377" s="2">
        <f>20163/26692</f>
        <v>0.75539487486887458</v>
      </c>
      <c r="I377" s="2">
        <f>174226/174715</f>
        <v>0.99720115616861749</v>
      </c>
      <c r="J377" s="3">
        <v>92500</v>
      </c>
      <c r="K377">
        <v>6.2</v>
      </c>
      <c r="L377">
        <v>2.6</v>
      </c>
      <c r="M377">
        <v>9.1999999999999993</v>
      </c>
    </row>
    <row r="378" spans="1:15" x14ac:dyDescent="0.25">
      <c r="A378" s="8" t="s">
        <v>85</v>
      </c>
      <c r="B378" s="1" t="s">
        <v>11</v>
      </c>
      <c r="C378" s="1">
        <v>2018</v>
      </c>
      <c r="D378" s="1">
        <v>2</v>
      </c>
      <c r="E378" s="1">
        <v>3</v>
      </c>
      <c r="F378" s="1">
        <v>2.5</v>
      </c>
      <c r="G378" s="1">
        <v>1</v>
      </c>
      <c r="H378" s="2">
        <v>0.72909999999999997</v>
      </c>
      <c r="I378" s="2">
        <v>1.0193364152078985</v>
      </c>
      <c r="J378" s="3">
        <v>93288</v>
      </c>
      <c r="K378">
        <v>6.2</v>
      </c>
      <c r="L378">
        <v>2.6</v>
      </c>
      <c r="M378">
        <v>9.3000000000000007</v>
      </c>
    </row>
    <row r="379" spans="1:15" x14ac:dyDescent="0.25">
      <c r="A379" s="8" t="s">
        <v>86</v>
      </c>
      <c r="B379" s="1" t="s">
        <v>11</v>
      </c>
      <c r="C379" s="1">
        <v>2014</v>
      </c>
      <c r="D379" s="1">
        <v>2</v>
      </c>
      <c r="E379" s="1">
        <v>3</v>
      </c>
      <c r="F379" s="1">
        <v>2.5</v>
      </c>
      <c r="G379" s="1">
        <v>1</v>
      </c>
      <c r="H379" s="2">
        <v>1.2186147154277158</v>
      </c>
      <c r="I379" s="2">
        <v>1.0916715221498314</v>
      </c>
      <c r="J379" s="3">
        <v>24059</v>
      </c>
      <c r="K379">
        <v>5.4362722704431246</v>
      </c>
      <c r="L379">
        <v>2.6828356659329708</v>
      </c>
      <c r="M379">
        <v>2.7</v>
      </c>
    </row>
    <row r="380" spans="1:15" x14ac:dyDescent="0.25">
      <c r="A380" s="8" t="s">
        <v>86</v>
      </c>
      <c r="B380" s="1" t="s">
        <v>11</v>
      </c>
      <c r="C380" s="1">
        <v>2015</v>
      </c>
      <c r="D380" s="1">
        <v>2</v>
      </c>
      <c r="E380" s="1">
        <v>3</v>
      </c>
      <c r="F380" s="1">
        <v>2.5</v>
      </c>
      <c r="G380" s="1">
        <v>1</v>
      </c>
      <c r="H380" s="2">
        <v>0.88859999999999995</v>
      </c>
      <c r="I380" s="2">
        <v>1.2756800717000547</v>
      </c>
      <c r="J380" s="3">
        <v>24374</v>
      </c>
      <c r="K380">
        <v>5.4362722704431246</v>
      </c>
      <c r="L380">
        <v>2.6828356659329708</v>
      </c>
      <c r="M380">
        <v>2.8</v>
      </c>
    </row>
    <row r="381" spans="1:15" x14ac:dyDescent="0.25">
      <c r="A381" t="s">
        <v>86</v>
      </c>
      <c r="B381" s="1" t="s">
        <v>11</v>
      </c>
      <c r="C381" s="1">
        <v>2016</v>
      </c>
      <c r="D381" s="1">
        <v>2</v>
      </c>
      <c r="E381" s="1">
        <v>3</v>
      </c>
      <c r="F381" s="1">
        <v>2.5</v>
      </c>
      <c r="G381" s="1">
        <v>1</v>
      </c>
      <c r="H381" s="2">
        <v>1.0590999999999999</v>
      </c>
      <c r="I381" s="2">
        <v>1.1573914879498084</v>
      </c>
      <c r="J381" s="6">
        <v>24079</v>
      </c>
      <c r="K381" s="7">
        <v>5.4362722704431246</v>
      </c>
      <c r="L381" s="7">
        <v>2.6828356659329708</v>
      </c>
      <c r="M381">
        <v>2.8</v>
      </c>
      <c r="O381" s="7"/>
    </row>
    <row r="382" spans="1:15" x14ac:dyDescent="0.25">
      <c r="A382" t="s">
        <v>86</v>
      </c>
      <c r="B382" s="1" t="s">
        <v>11</v>
      </c>
      <c r="C382" s="1">
        <v>2017</v>
      </c>
      <c r="D382" s="1">
        <v>2</v>
      </c>
      <c r="E382" s="1">
        <v>3</v>
      </c>
      <c r="F382" s="1">
        <v>2.5</v>
      </c>
      <c r="G382" s="1">
        <v>1</v>
      </c>
      <c r="H382" s="2">
        <v>1.0851</v>
      </c>
      <c r="I382" s="2">
        <v>1.3134271222126519</v>
      </c>
      <c r="J382" s="3">
        <v>24827</v>
      </c>
      <c r="K382">
        <v>5.4362722704431246</v>
      </c>
      <c r="L382">
        <v>2.6828356659329708</v>
      </c>
      <c r="M382">
        <v>2.8</v>
      </c>
    </row>
    <row r="383" spans="1:15" x14ac:dyDescent="0.25">
      <c r="A383" s="8" t="s">
        <v>86</v>
      </c>
      <c r="B383" s="1" t="s">
        <v>11</v>
      </c>
      <c r="C383" s="1">
        <v>2018</v>
      </c>
      <c r="D383" s="1">
        <v>2</v>
      </c>
      <c r="E383" s="1">
        <v>3</v>
      </c>
      <c r="F383" s="1">
        <v>2.5</v>
      </c>
      <c r="G383" s="1">
        <v>1</v>
      </c>
      <c r="H383" s="2">
        <v>1.0070000000000001</v>
      </c>
      <c r="I383" s="2">
        <v>1.1323372108570664</v>
      </c>
      <c r="J383" s="3">
        <v>25086</v>
      </c>
      <c r="K383">
        <v>5.4362722704431246</v>
      </c>
      <c r="L383">
        <v>2.6828356659329708</v>
      </c>
      <c r="M383">
        <v>2.9</v>
      </c>
    </row>
    <row r="384" spans="1:15" x14ac:dyDescent="0.25">
      <c r="A384" s="8" t="s">
        <v>87</v>
      </c>
      <c r="B384" s="1" t="s">
        <v>11</v>
      </c>
      <c r="C384" s="1">
        <v>2014</v>
      </c>
      <c r="D384" s="1">
        <v>3</v>
      </c>
      <c r="E384" s="1">
        <v>4</v>
      </c>
      <c r="F384" s="1">
        <v>3.5</v>
      </c>
      <c r="G384" s="1">
        <v>1</v>
      </c>
      <c r="H384" s="2">
        <v>1.2675013462574045</v>
      </c>
      <c r="I384" s="2">
        <v>1.0684385054829602</v>
      </c>
      <c r="J384" s="3">
        <v>13853</v>
      </c>
      <c r="K384">
        <v>21.568627450980394</v>
      </c>
      <c r="L384">
        <v>3.5263717890256876</v>
      </c>
      <c r="M384">
        <v>0.8</v>
      </c>
    </row>
    <row r="385" spans="1:15" x14ac:dyDescent="0.25">
      <c r="A385" s="8" t="s">
        <v>87</v>
      </c>
      <c r="B385" s="1" t="s">
        <v>11</v>
      </c>
      <c r="C385" s="1">
        <v>2015</v>
      </c>
      <c r="D385" s="1">
        <v>3</v>
      </c>
      <c r="E385" s="1">
        <v>4</v>
      </c>
      <c r="F385" s="1">
        <v>3.5</v>
      </c>
      <c r="G385" s="1">
        <v>1</v>
      </c>
      <c r="H385" s="2">
        <v>0.86609999999999998</v>
      </c>
      <c r="I385" s="2">
        <v>1.1122711366316727</v>
      </c>
      <c r="J385" s="3">
        <v>13735</v>
      </c>
      <c r="K385">
        <v>21.568627450980394</v>
      </c>
      <c r="L385">
        <v>3.5263717890256876</v>
      </c>
      <c r="M385">
        <v>0.8</v>
      </c>
    </row>
    <row r="386" spans="1:15" x14ac:dyDescent="0.25">
      <c r="A386" t="s">
        <v>87</v>
      </c>
      <c r="B386" s="1" t="s">
        <v>11</v>
      </c>
      <c r="C386" s="1">
        <v>2016</v>
      </c>
      <c r="D386" s="1">
        <v>3</v>
      </c>
      <c r="E386" s="1">
        <v>4</v>
      </c>
      <c r="F386" s="1">
        <v>3.5</v>
      </c>
      <c r="G386" s="1">
        <v>1</v>
      </c>
      <c r="H386" s="2">
        <v>0.94</v>
      </c>
      <c r="I386" s="2">
        <v>1.191575956535929</v>
      </c>
      <c r="J386" s="6">
        <v>13158</v>
      </c>
      <c r="K386" s="7">
        <v>21.568627450980394</v>
      </c>
      <c r="L386" s="7">
        <v>3.5263717890256876</v>
      </c>
      <c r="M386">
        <v>0.8</v>
      </c>
      <c r="O386" s="7"/>
    </row>
    <row r="387" spans="1:15" x14ac:dyDescent="0.25">
      <c r="A387" t="s">
        <v>87</v>
      </c>
      <c r="B387" s="1" t="s">
        <v>11</v>
      </c>
      <c r="C387" s="1">
        <v>2017</v>
      </c>
      <c r="D387" s="1">
        <v>3</v>
      </c>
      <c r="E387" s="1">
        <v>4</v>
      </c>
      <c r="F387" s="1">
        <v>3.5</v>
      </c>
      <c r="G387" s="1">
        <v>1</v>
      </c>
      <c r="H387" s="2">
        <v>0.94989999999999997</v>
      </c>
      <c r="I387" s="2">
        <v>1.1889560575529394</v>
      </c>
      <c r="J387" s="3">
        <v>13461</v>
      </c>
      <c r="K387">
        <v>21.568627450980394</v>
      </c>
      <c r="L387">
        <v>3.5263717890256876</v>
      </c>
      <c r="M387">
        <v>0.8</v>
      </c>
    </row>
    <row r="388" spans="1:15" x14ac:dyDescent="0.25">
      <c r="A388" s="8" t="s">
        <v>87</v>
      </c>
      <c r="B388" s="1" t="s">
        <v>11</v>
      </c>
      <c r="C388" s="1">
        <v>2018</v>
      </c>
      <c r="D388" s="1">
        <v>3</v>
      </c>
      <c r="E388" s="1">
        <v>4</v>
      </c>
      <c r="F388" s="1">
        <v>3.5</v>
      </c>
      <c r="G388" s="1">
        <v>1</v>
      </c>
      <c r="H388" s="2">
        <v>0.96510000000000007</v>
      </c>
      <c r="I388" s="2">
        <v>1.0734770776638058</v>
      </c>
      <c r="J388" s="3">
        <v>13350</v>
      </c>
      <c r="K388">
        <v>21.568627450980394</v>
      </c>
      <c r="L388">
        <v>3.5263717890256876</v>
      </c>
      <c r="M388">
        <v>0.7</v>
      </c>
    </row>
    <row r="389" spans="1:15" x14ac:dyDescent="0.25">
      <c r="A389" s="8" t="s">
        <v>88</v>
      </c>
      <c r="B389" s="1" t="s">
        <v>11</v>
      </c>
      <c r="C389" s="1">
        <v>2014</v>
      </c>
      <c r="D389" s="1">
        <v>1</v>
      </c>
      <c r="E389" s="1">
        <v>1</v>
      </c>
      <c r="F389" s="1">
        <v>1</v>
      </c>
      <c r="G389" s="1">
        <v>0</v>
      </c>
      <c r="H389" s="2">
        <v>1.0588034188034188</v>
      </c>
      <c r="I389" s="2">
        <v>1.1370214512983681</v>
      </c>
      <c r="J389" s="3">
        <v>29846</v>
      </c>
      <c r="K389">
        <v>0.2071920213513134</v>
      </c>
      <c r="L389">
        <v>15.103947183593203</v>
      </c>
      <c r="M389">
        <v>3450.3</v>
      </c>
    </row>
    <row r="390" spans="1:15" x14ac:dyDescent="0.25">
      <c r="A390" s="8" t="s">
        <v>88</v>
      </c>
      <c r="B390" s="1" t="s">
        <v>11</v>
      </c>
      <c r="C390" s="1">
        <v>2015</v>
      </c>
      <c r="D390" s="1">
        <v>1</v>
      </c>
      <c r="E390" s="1">
        <v>1</v>
      </c>
      <c r="F390" s="1">
        <v>1</v>
      </c>
      <c r="G390" s="1">
        <v>0</v>
      </c>
      <c r="H390" s="2">
        <v>0.97</v>
      </c>
      <c r="I390" s="2">
        <v>1.1301916932907348</v>
      </c>
      <c r="J390" s="3">
        <v>30045</v>
      </c>
      <c r="K390">
        <v>0.2071920213513134</v>
      </c>
      <c r="L390">
        <v>15.103947183593203</v>
      </c>
      <c r="M390">
        <v>3473.3</v>
      </c>
    </row>
    <row r="391" spans="1:15" x14ac:dyDescent="0.25">
      <c r="A391" t="s">
        <v>88</v>
      </c>
      <c r="B391" s="1" t="s">
        <v>11</v>
      </c>
      <c r="C391" s="1">
        <v>2016</v>
      </c>
      <c r="D391" s="1">
        <v>1</v>
      </c>
      <c r="E391" s="1">
        <v>1</v>
      </c>
      <c r="F391" s="1">
        <v>1</v>
      </c>
      <c r="G391" s="1">
        <v>0</v>
      </c>
      <c r="H391" s="2">
        <v>1.4154</v>
      </c>
      <c r="I391" s="2">
        <v>0.96908075672972749</v>
      </c>
      <c r="J391" s="6">
        <v>28476</v>
      </c>
      <c r="K391" s="7">
        <v>0.2071920213513134</v>
      </c>
      <c r="L391" s="7">
        <v>15.103947183593203</v>
      </c>
      <c r="M391">
        <v>3498.1</v>
      </c>
      <c r="O391" s="7"/>
    </row>
    <row r="392" spans="1:15" x14ac:dyDescent="0.25">
      <c r="A392" t="s">
        <v>88</v>
      </c>
      <c r="B392" s="1" t="s">
        <v>11</v>
      </c>
      <c r="C392" s="1">
        <v>2017</v>
      </c>
      <c r="D392" s="1">
        <v>1</v>
      </c>
      <c r="E392" s="1">
        <v>1</v>
      </c>
      <c r="F392" s="1">
        <v>1</v>
      </c>
      <c r="G392" s="1">
        <v>0</v>
      </c>
      <c r="H392" s="2">
        <v>1.1573</v>
      </c>
      <c r="I392" s="2">
        <v>1.1704671542763978</v>
      </c>
      <c r="J392" s="3">
        <v>30588</v>
      </c>
      <c r="K392">
        <v>0.2071920213513134</v>
      </c>
      <c r="L392">
        <v>15.103947183593203</v>
      </c>
      <c r="M392">
        <v>3536.1</v>
      </c>
    </row>
    <row r="393" spans="1:15" x14ac:dyDescent="0.25">
      <c r="A393" s="8" t="s">
        <v>88</v>
      </c>
      <c r="B393" s="1" t="s">
        <v>11</v>
      </c>
      <c r="C393" s="1">
        <v>2018</v>
      </c>
      <c r="D393" s="1">
        <v>1</v>
      </c>
      <c r="E393" s="1">
        <v>1</v>
      </c>
      <c r="F393" s="1">
        <v>1</v>
      </c>
      <c r="G393" s="1">
        <v>0</v>
      </c>
      <c r="H393" s="2">
        <v>1.2484999999999999</v>
      </c>
      <c r="I393" s="2">
        <v>1.0447478707584155</v>
      </c>
      <c r="J393" s="3">
        <v>30877</v>
      </c>
      <c r="K393">
        <v>0.2071920213513134</v>
      </c>
      <c r="L393">
        <v>15.103947183593203</v>
      </c>
      <c r="M393">
        <v>3569.5</v>
      </c>
    </row>
    <row r="394" spans="1:15" x14ac:dyDescent="0.25">
      <c r="A394" s="8" t="s">
        <v>89</v>
      </c>
      <c r="B394" s="1" t="s">
        <v>11</v>
      </c>
      <c r="C394" s="1">
        <v>2014</v>
      </c>
      <c r="D394" s="1">
        <v>2</v>
      </c>
      <c r="E394" s="1">
        <v>4</v>
      </c>
      <c r="F394" s="1">
        <v>3</v>
      </c>
      <c r="G394" s="1">
        <v>2</v>
      </c>
      <c r="H394" s="2">
        <v>0.97291993720565151</v>
      </c>
      <c r="I394" s="2">
        <v>0.99162566732963464</v>
      </c>
      <c r="J394" s="3">
        <v>11642</v>
      </c>
      <c r="K394">
        <v>3.2</v>
      </c>
      <c r="L394">
        <v>2.5</v>
      </c>
      <c r="M394">
        <v>1</v>
      </c>
    </row>
    <row r="395" spans="1:15" x14ac:dyDescent="0.25">
      <c r="A395" s="8" t="s">
        <v>89</v>
      </c>
      <c r="B395" s="1" t="s">
        <v>11</v>
      </c>
      <c r="C395" s="1">
        <v>2015</v>
      </c>
      <c r="D395" s="1">
        <v>2</v>
      </c>
      <c r="E395" s="1">
        <v>4</v>
      </c>
      <c r="F395" s="1">
        <v>3</v>
      </c>
      <c r="G395" s="1">
        <v>2</v>
      </c>
      <c r="H395" s="2">
        <v>1.1014999999999999</v>
      </c>
      <c r="I395" s="2">
        <v>1.1767298821117376</v>
      </c>
      <c r="J395" s="3">
        <v>11755</v>
      </c>
      <c r="K395">
        <v>3.2</v>
      </c>
      <c r="L395">
        <v>2.5</v>
      </c>
      <c r="M395">
        <v>1</v>
      </c>
    </row>
    <row r="396" spans="1:15" x14ac:dyDescent="0.25">
      <c r="A396" t="s">
        <v>89</v>
      </c>
      <c r="B396" s="1" t="s">
        <v>11</v>
      </c>
      <c r="C396" s="1">
        <v>2016</v>
      </c>
      <c r="D396" s="1">
        <v>2</v>
      </c>
      <c r="E396" s="1">
        <v>4</v>
      </c>
      <c r="F396" s="1">
        <v>3</v>
      </c>
      <c r="G396" s="1">
        <v>2</v>
      </c>
      <c r="J396" s="6">
        <v>11963</v>
      </c>
      <c r="K396" s="7">
        <v>3.2</v>
      </c>
      <c r="L396" s="7">
        <v>2.5</v>
      </c>
      <c r="M396">
        <v>1</v>
      </c>
      <c r="O396" s="7"/>
    </row>
    <row r="397" spans="1:15" x14ac:dyDescent="0.25">
      <c r="A397" t="s">
        <v>89</v>
      </c>
      <c r="B397" s="1" t="s">
        <v>11</v>
      </c>
      <c r="C397" s="1">
        <v>2017</v>
      </c>
      <c r="D397" s="1">
        <v>2</v>
      </c>
      <c r="E397" s="1">
        <v>4</v>
      </c>
      <c r="F397" s="1">
        <v>3</v>
      </c>
      <c r="G397" s="1">
        <v>2</v>
      </c>
      <c r="H397" s="5">
        <v>1</v>
      </c>
      <c r="I397" s="2">
        <f>1/0.823</f>
        <v>1.2150668286755772</v>
      </c>
      <c r="J397" s="3">
        <v>11963</v>
      </c>
      <c r="K397">
        <v>3.2</v>
      </c>
      <c r="L397">
        <v>2.5</v>
      </c>
      <c r="M397">
        <v>1</v>
      </c>
    </row>
    <row r="398" spans="1:15" x14ac:dyDescent="0.25">
      <c r="A398" s="8" t="s">
        <v>89</v>
      </c>
      <c r="B398" s="1" t="s">
        <v>11</v>
      </c>
      <c r="C398" s="1">
        <v>2018</v>
      </c>
      <c r="D398" s="1">
        <v>2</v>
      </c>
      <c r="E398" s="1">
        <v>4</v>
      </c>
      <c r="F398" s="1">
        <v>3</v>
      </c>
      <c r="G398" s="1">
        <v>2</v>
      </c>
      <c r="H398" s="2">
        <v>1</v>
      </c>
      <c r="I398" s="2">
        <v>1.0683508174557472</v>
      </c>
      <c r="J398" s="3">
        <v>12118</v>
      </c>
      <c r="K398">
        <v>3.2</v>
      </c>
      <c r="L398">
        <v>2.5</v>
      </c>
      <c r="M398">
        <v>1</v>
      </c>
    </row>
    <row r="399" spans="1:15" x14ac:dyDescent="0.25">
      <c r="A399" s="8" t="s">
        <v>90</v>
      </c>
      <c r="B399" s="1" t="s">
        <v>11</v>
      </c>
      <c r="C399" s="1">
        <v>2014</v>
      </c>
      <c r="D399" s="1">
        <v>3</v>
      </c>
      <c r="E399" s="1">
        <v>3</v>
      </c>
      <c r="F399" s="1">
        <v>3</v>
      </c>
      <c r="G399" s="1">
        <v>0</v>
      </c>
      <c r="H399" s="2">
        <v>0.9157303370786517</v>
      </c>
      <c r="I399" s="2">
        <v>1.697912228376651</v>
      </c>
      <c r="J399" s="3">
        <v>3900</v>
      </c>
      <c r="K399">
        <v>7.5</v>
      </c>
      <c r="L399">
        <v>3.3</v>
      </c>
      <c r="M399">
        <v>0.6</v>
      </c>
    </row>
    <row r="400" spans="1:15" x14ac:dyDescent="0.25">
      <c r="A400" s="8" t="s">
        <v>90</v>
      </c>
      <c r="B400" s="1" t="s">
        <v>11</v>
      </c>
      <c r="C400" s="1">
        <v>2015</v>
      </c>
      <c r="D400" s="1">
        <v>3</v>
      </c>
      <c r="E400" s="1">
        <v>3</v>
      </c>
      <c r="F400" s="1">
        <v>3</v>
      </c>
      <c r="G400" s="1">
        <v>0</v>
      </c>
      <c r="H400" s="2">
        <v>1.1440999999999999</v>
      </c>
      <c r="I400" s="2">
        <v>1.2739994402462915</v>
      </c>
      <c r="J400" s="3">
        <v>3893</v>
      </c>
      <c r="K400">
        <v>7.5</v>
      </c>
      <c r="L400">
        <v>3.3</v>
      </c>
      <c r="M400">
        <v>0.6</v>
      </c>
    </row>
    <row r="401" spans="1:15" x14ac:dyDescent="0.25">
      <c r="A401" t="s">
        <v>90</v>
      </c>
      <c r="B401" s="1" t="s">
        <v>11</v>
      </c>
      <c r="C401" s="1">
        <v>2016</v>
      </c>
      <c r="D401" s="1">
        <v>3</v>
      </c>
      <c r="E401" s="1">
        <v>3</v>
      </c>
      <c r="F401" s="1">
        <v>3</v>
      </c>
      <c r="G401" s="1">
        <v>0</v>
      </c>
      <c r="J401" s="6">
        <v>3955</v>
      </c>
      <c r="K401" s="7">
        <v>7.5</v>
      </c>
      <c r="L401" s="7">
        <v>3.3</v>
      </c>
      <c r="M401">
        <v>0.6</v>
      </c>
      <c r="O401" s="7"/>
    </row>
    <row r="402" spans="1:15" x14ac:dyDescent="0.25">
      <c r="A402" t="s">
        <v>90</v>
      </c>
      <c r="B402" s="1" t="s">
        <v>11</v>
      </c>
      <c r="C402" s="1">
        <v>2017</v>
      </c>
      <c r="D402" s="1">
        <v>3</v>
      </c>
      <c r="E402" s="1">
        <v>3</v>
      </c>
      <c r="F402" s="1">
        <v>3</v>
      </c>
      <c r="G402" s="1">
        <v>0</v>
      </c>
      <c r="H402" s="2">
        <v>1.28</v>
      </c>
      <c r="I402" s="2">
        <f>1/0.9454</f>
        <v>1.0577533319229955</v>
      </c>
      <c r="J402" s="3">
        <v>3955</v>
      </c>
      <c r="K402">
        <v>7.5</v>
      </c>
      <c r="L402">
        <v>3.3</v>
      </c>
      <c r="M402">
        <v>0.6</v>
      </c>
    </row>
    <row r="403" spans="1:15" x14ac:dyDescent="0.25">
      <c r="A403" s="8" t="s">
        <v>90</v>
      </c>
      <c r="B403" s="1" t="s">
        <v>11</v>
      </c>
      <c r="C403" s="1">
        <v>2018</v>
      </c>
      <c r="D403" s="1">
        <v>3</v>
      </c>
      <c r="E403" s="1">
        <v>3</v>
      </c>
      <c r="F403" s="1">
        <v>3</v>
      </c>
      <c r="G403" s="1">
        <v>0</v>
      </c>
      <c r="H403" s="2">
        <v>1.1795</v>
      </c>
      <c r="I403" s="2">
        <v>0.81609672564994029</v>
      </c>
      <c r="J403" s="3">
        <v>3961</v>
      </c>
      <c r="K403">
        <v>7.5</v>
      </c>
      <c r="L403">
        <v>3.3</v>
      </c>
      <c r="M403">
        <v>0.6</v>
      </c>
    </row>
    <row r="404" spans="1:15" x14ac:dyDescent="0.25">
      <c r="A404" s="8" t="s">
        <v>91</v>
      </c>
      <c r="B404" s="1" t="s">
        <v>11</v>
      </c>
      <c r="C404" s="1">
        <v>2014</v>
      </c>
      <c r="D404" s="1">
        <v>2</v>
      </c>
      <c r="E404" s="1">
        <v>3</v>
      </c>
      <c r="F404" s="1">
        <v>2.5</v>
      </c>
      <c r="G404" s="1">
        <v>1</v>
      </c>
      <c r="H404" s="2">
        <v>1.1762002042900919</v>
      </c>
      <c r="I404" s="2">
        <v>1.3201681110995092</v>
      </c>
      <c r="J404" s="3">
        <v>16431</v>
      </c>
      <c r="K404">
        <v>8.361307969663061</v>
      </c>
      <c r="L404">
        <v>3.4999378341414893</v>
      </c>
      <c r="M404">
        <v>4.8</v>
      </c>
    </row>
    <row r="405" spans="1:15" x14ac:dyDescent="0.25">
      <c r="A405" s="8" t="s">
        <v>91</v>
      </c>
      <c r="B405" s="1" t="s">
        <v>11</v>
      </c>
      <c r="C405" s="1">
        <v>2015</v>
      </c>
      <c r="D405" s="1">
        <v>2</v>
      </c>
      <c r="E405" s="1">
        <v>3</v>
      </c>
      <c r="F405" s="1">
        <v>2.5</v>
      </c>
      <c r="G405" s="1">
        <v>1</v>
      </c>
      <c r="H405" s="2">
        <v>0.77429999999999988</v>
      </c>
      <c r="I405" s="2">
        <v>1.4996370372224586</v>
      </c>
      <c r="J405" s="3">
        <v>16435</v>
      </c>
      <c r="K405">
        <v>8.361307969663061</v>
      </c>
      <c r="L405">
        <v>3.4999378341414893</v>
      </c>
      <c r="M405">
        <v>4.8</v>
      </c>
    </row>
    <row r="406" spans="1:15" x14ac:dyDescent="0.25">
      <c r="A406" t="s">
        <v>91</v>
      </c>
      <c r="B406" s="1" t="s">
        <v>11</v>
      </c>
      <c r="C406" s="1">
        <v>2016</v>
      </c>
      <c r="D406" s="1">
        <v>2</v>
      </c>
      <c r="E406" s="1">
        <v>3</v>
      </c>
      <c r="F406" s="1">
        <v>2.5</v>
      </c>
      <c r="G406" s="1">
        <v>1</v>
      </c>
      <c r="H406" s="2">
        <v>0.79549999999999998</v>
      </c>
      <c r="I406" s="2">
        <v>1.3370745589072282</v>
      </c>
      <c r="J406" s="6">
        <v>16086</v>
      </c>
      <c r="K406" s="7">
        <v>8.361307969663061</v>
      </c>
      <c r="L406" s="7">
        <v>3.4999378341414893</v>
      </c>
      <c r="M406">
        <v>4.8</v>
      </c>
      <c r="O406" s="7"/>
    </row>
    <row r="407" spans="1:15" x14ac:dyDescent="0.25">
      <c r="A407" t="s">
        <v>91</v>
      </c>
      <c r="B407" s="1" t="s">
        <v>11</v>
      </c>
      <c r="C407" s="1">
        <v>2017</v>
      </c>
      <c r="D407" s="1">
        <v>2</v>
      </c>
      <c r="E407" s="1">
        <v>3</v>
      </c>
      <c r="F407" s="1">
        <v>2.5</v>
      </c>
      <c r="G407" s="1">
        <v>1</v>
      </c>
      <c r="H407" s="2">
        <v>0.83090000000000008</v>
      </c>
      <c r="I407" s="2">
        <v>1.2418407624915759</v>
      </c>
      <c r="J407" s="3">
        <v>16445</v>
      </c>
      <c r="K407">
        <v>8.361307969663061</v>
      </c>
      <c r="L407">
        <v>3.4999378341414893</v>
      </c>
      <c r="M407">
        <v>4.8</v>
      </c>
    </row>
    <row r="408" spans="1:15" x14ac:dyDescent="0.25">
      <c r="A408" s="8" t="s">
        <v>91</v>
      </c>
      <c r="B408" s="1" t="s">
        <v>11</v>
      </c>
      <c r="C408" s="1">
        <v>2018</v>
      </c>
      <c r="D408" s="1">
        <v>2</v>
      </c>
      <c r="E408" s="1">
        <v>3</v>
      </c>
      <c r="F408" s="1">
        <v>2.5</v>
      </c>
      <c r="G408" s="1">
        <v>1</v>
      </c>
      <c r="H408" s="2">
        <v>0.75129999999999997</v>
      </c>
      <c r="I408" s="2">
        <v>1.1497658862876254</v>
      </c>
      <c r="J408" s="3">
        <v>16383</v>
      </c>
      <c r="K408">
        <v>8.361307969663061</v>
      </c>
      <c r="L408">
        <v>3.4999378341414893</v>
      </c>
      <c r="M408">
        <v>4.8</v>
      </c>
    </row>
    <row r="409" spans="1:15" x14ac:dyDescent="0.25">
      <c r="A409" s="8" t="s">
        <v>92</v>
      </c>
      <c r="B409" s="1" t="s">
        <v>11</v>
      </c>
      <c r="C409" s="1">
        <v>2014</v>
      </c>
      <c r="D409" s="1">
        <v>3</v>
      </c>
      <c r="E409" s="1">
        <v>3</v>
      </c>
      <c r="F409" s="1">
        <v>3</v>
      </c>
      <c r="G409" s="1">
        <v>0</v>
      </c>
      <c r="H409" s="2">
        <v>1.0773983181740174</v>
      </c>
      <c r="I409" s="2">
        <v>1.1636414881623449</v>
      </c>
      <c r="J409" s="3">
        <v>19501</v>
      </c>
      <c r="K409">
        <v>7.6210307131702235</v>
      </c>
      <c r="L409">
        <v>2.3997917751171265</v>
      </c>
      <c r="M409">
        <v>13.1</v>
      </c>
    </row>
    <row r="410" spans="1:15" x14ac:dyDescent="0.25">
      <c r="A410" s="8" t="s">
        <v>92</v>
      </c>
      <c r="B410" s="1" t="s">
        <v>11</v>
      </c>
      <c r="C410" s="1">
        <v>2015</v>
      </c>
      <c r="D410" s="1">
        <v>3</v>
      </c>
      <c r="E410" s="1">
        <v>3</v>
      </c>
      <c r="F410" s="1">
        <v>3</v>
      </c>
      <c r="G410" s="1">
        <v>0</v>
      </c>
      <c r="H410" s="2">
        <v>1.4559</v>
      </c>
      <c r="I410" s="2">
        <v>1.167988143756947</v>
      </c>
      <c r="J410" s="3">
        <v>19541</v>
      </c>
      <c r="K410">
        <v>7.6210307131702235</v>
      </c>
      <c r="L410">
        <v>2.3997917751171265</v>
      </c>
      <c r="M410">
        <v>13.1</v>
      </c>
    </row>
    <row r="411" spans="1:15" x14ac:dyDescent="0.25">
      <c r="A411" t="s">
        <v>92</v>
      </c>
      <c r="B411" s="1" t="s">
        <v>11</v>
      </c>
      <c r="C411" s="1">
        <v>2016</v>
      </c>
      <c r="D411" s="1">
        <v>3</v>
      </c>
      <c r="E411" s="1">
        <v>3</v>
      </c>
      <c r="F411" s="1">
        <v>3</v>
      </c>
      <c r="G411" s="1">
        <v>0</v>
      </c>
      <c r="H411" s="2">
        <v>1.8106</v>
      </c>
      <c r="I411" s="2">
        <v>1.0166093778699063</v>
      </c>
      <c r="J411" s="6">
        <v>19210</v>
      </c>
      <c r="K411" s="7">
        <v>7.6210307131702235</v>
      </c>
      <c r="L411" s="7">
        <v>2.3997917751171265</v>
      </c>
      <c r="M411">
        <v>13.1</v>
      </c>
      <c r="O411" s="7"/>
    </row>
    <row r="412" spans="1:15" x14ac:dyDescent="0.25">
      <c r="A412" t="s">
        <v>92</v>
      </c>
      <c r="B412" s="1" t="s">
        <v>11</v>
      </c>
      <c r="C412" s="1">
        <v>2017</v>
      </c>
      <c r="D412" s="1">
        <v>3</v>
      </c>
      <c r="E412" s="1">
        <v>3</v>
      </c>
      <c r="F412" s="1">
        <v>3</v>
      </c>
      <c r="G412" s="1">
        <v>0</v>
      </c>
      <c r="H412" s="2">
        <v>0.97909999999999997</v>
      </c>
      <c r="I412" s="2">
        <v>1.3206946128041046</v>
      </c>
      <c r="J412" s="3">
        <v>19698</v>
      </c>
      <c r="K412">
        <v>7.6210307131702235</v>
      </c>
      <c r="L412">
        <v>2.3997917751171265</v>
      </c>
      <c r="M412">
        <v>13.2</v>
      </c>
    </row>
    <row r="413" spans="1:15" x14ac:dyDescent="0.25">
      <c r="A413" s="8" t="s">
        <v>92</v>
      </c>
      <c r="B413" s="1" t="s">
        <v>11</v>
      </c>
      <c r="C413" s="1">
        <v>2018</v>
      </c>
      <c r="D413" s="1">
        <v>3</v>
      </c>
      <c r="E413" s="1">
        <v>3</v>
      </c>
      <c r="F413" s="1">
        <v>3</v>
      </c>
      <c r="G413" s="1">
        <v>0</v>
      </c>
      <c r="H413" s="2">
        <v>1</v>
      </c>
      <c r="I413" s="2">
        <v>1.0855140601437061</v>
      </c>
      <c r="J413" s="3">
        <v>19773</v>
      </c>
      <c r="K413">
        <v>7.6210307131702235</v>
      </c>
      <c r="L413">
        <v>2.3997917751171265</v>
      </c>
      <c r="M413">
        <v>13.3</v>
      </c>
    </row>
    <row r="414" spans="1:15" x14ac:dyDescent="0.25">
      <c r="A414" s="8" t="s">
        <v>93</v>
      </c>
      <c r="B414" s="1" t="s">
        <v>11</v>
      </c>
      <c r="C414" s="1">
        <v>2014</v>
      </c>
      <c r="D414" s="1">
        <v>3</v>
      </c>
      <c r="E414" s="1">
        <v>4</v>
      </c>
      <c r="F414" s="1">
        <v>3.5</v>
      </c>
      <c r="G414" s="1">
        <v>1</v>
      </c>
      <c r="H414" s="2">
        <v>0.87683316793472266</v>
      </c>
      <c r="I414" s="2">
        <v>1.1535627851191879</v>
      </c>
      <c r="J414" s="3">
        <v>13480</v>
      </c>
      <c r="K414">
        <v>12.168462890774286</v>
      </c>
      <c r="L414">
        <v>1.7885806007796374</v>
      </c>
      <c r="M414">
        <v>1</v>
      </c>
    </row>
    <row r="415" spans="1:15" x14ac:dyDescent="0.25">
      <c r="A415" s="8" t="s">
        <v>93</v>
      </c>
      <c r="B415" s="1" t="s">
        <v>11</v>
      </c>
      <c r="C415" s="1">
        <v>2015</v>
      </c>
      <c r="D415" s="1">
        <v>3</v>
      </c>
      <c r="E415" s="1">
        <v>4</v>
      </c>
      <c r="F415" s="1">
        <v>3.5</v>
      </c>
      <c r="G415" s="1">
        <v>1</v>
      </c>
      <c r="H415" s="2">
        <v>1.1521999999999999</v>
      </c>
      <c r="I415" s="2">
        <v>1.3038609188938064</v>
      </c>
      <c r="J415" s="3">
        <v>13459</v>
      </c>
      <c r="K415">
        <v>12.168462890774286</v>
      </c>
      <c r="L415">
        <v>1.7885806007796374</v>
      </c>
      <c r="M415">
        <v>1</v>
      </c>
    </row>
    <row r="416" spans="1:15" x14ac:dyDescent="0.25">
      <c r="A416" t="s">
        <v>93</v>
      </c>
      <c r="B416" s="1" t="s">
        <v>11</v>
      </c>
      <c r="C416" s="1">
        <v>2016</v>
      </c>
      <c r="D416" s="1">
        <v>3</v>
      </c>
      <c r="E416" s="1">
        <v>4</v>
      </c>
      <c r="F416" s="1">
        <v>3.5</v>
      </c>
      <c r="G416" s="1">
        <v>1</v>
      </c>
      <c r="H416" s="2">
        <v>1.0349999999999999</v>
      </c>
      <c r="I416" s="2">
        <v>1.3641893611606006</v>
      </c>
      <c r="J416" s="6">
        <v>13083</v>
      </c>
      <c r="K416" s="7">
        <v>12.168462890774286</v>
      </c>
      <c r="L416" s="7">
        <v>1.7885806007796374</v>
      </c>
      <c r="M416">
        <v>1</v>
      </c>
      <c r="O416" s="7"/>
    </row>
    <row r="417" spans="1:15" x14ac:dyDescent="0.25">
      <c r="A417" t="s">
        <v>93</v>
      </c>
      <c r="B417" s="1" t="s">
        <v>11</v>
      </c>
      <c r="C417" s="1">
        <v>2017</v>
      </c>
      <c r="D417" s="1">
        <v>3</v>
      </c>
      <c r="E417" s="1">
        <v>4</v>
      </c>
      <c r="F417" s="1">
        <v>3.5</v>
      </c>
      <c r="G417" s="1">
        <v>1</v>
      </c>
      <c r="H417" s="2">
        <v>1.1055999999999999</v>
      </c>
      <c r="I417" s="2">
        <v>1.3733898386247188</v>
      </c>
      <c r="J417" s="3">
        <v>13287</v>
      </c>
      <c r="K417">
        <v>12.168462890774286</v>
      </c>
      <c r="L417">
        <v>1.7885806007796374</v>
      </c>
      <c r="M417">
        <v>1</v>
      </c>
    </row>
    <row r="418" spans="1:15" x14ac:dyDescent="0.25">
      <c r="A418" s="8" t="s">
        <v>93</v>
      </c>
      <c r="B418" s="1" t="s">
        <v>11</v>
      </c>
      <c r="C418" s="1">
        <v>2018</v>
      </c>
      <c r="D418" s="1">
        <v>3</v>
      </c>
      <c r="E418" s="1">
        <v>4</v>
      </c>
      <c r="F418" s="1">
        <v>3.5</v>
      </c>
      <c r="G418" s="1">
        <v>1</v>
      </c>
      <c r="H418" s="2">
        <v>0.99970000000000003</v>
      </c>
      <c r="I418" s="2">
        <v>1.1366229760986892</v>
      </c>
      <c r="J418" s="3">
        <v>13231</v>
      </c>
      <c r="K418">
        <v>12.168462890774286</v>
      </c>
      <c r="L418">
        <v>1.7885806007796374</v>
      </c>
      <c r="M418">
        <v>1</v>
      </c>
    </row>
    <row r="419" spans="1:15" x14ac:dyDescent="0.25">
      <c r="A419" s="8" t="s">
        <v>94</v>
      </c>
      <c r="B419" s="1" t="s">
        <v>11</v>
      </c>
      <c r="C419" s="1">
        <v>2014</v>
      </c>
      <c r="D419" s="1">
        <v>3</v>
      </c>
      <c r="E419" s="1">
        <v>3</v>
      </c>
      <c r="F419" s="1">
        <v>3</v>
      </c>
      <c r="G419" s="1">
        <v>0</v>
      </c>
      <c r="H419" s="2">
        <v>1.0126115041525685</v>
      </c>
      <c r="I419" s="2">
        <v>1.0363459271030913</v>
      </c>
      <c r="J419" s="3">
        <v>6015</v>
      </c>
      <c r="K419">
        <v>9.6531693148812572</v>
      </c>
      <c r="L419">
        <v>2.4602767811378783</v>
      </c>
      <c r="M419">
        <v>1.5</v>
      </c>
    </row>
    <row r="420" spans="1:15" x14ac:dyDescent="0.25">
      <c r="A420" s="8" t="s">
        <v>94</v>
      </c>
      <c r="B420" s="1" t="s">
        <v>11</v>
      </c>
      <c r="C420" s="1">
        <v>2015</v>
      </c>
      <c r="D420" s="1">
        <v>3</v>
      </c>
      <c r="E420" s="1">
        <v>3</v>
      </c>
      <c r="F420" s="1">
        <v>3</v>
      </c>
      <c r="G420" s="1">
        <v>0</v>
      </c>
      <c r="H420" s="2">
        <v>0.92040000000000011</v>
      </c>
      <c r="I420" s="2">
        <v>1.0533660481521239</v>
      </c>
      <c r="J420" s="3">
        <v>5978</v>
      </c>
      <c r="K420">
        <v>9.6531693148812572</v>
      </c>
      <c r="L420">
        <v>2.4602767811378783</v>
      </c>
      <c r="M420">
        <v>1.5</v>
      </c>
    </row>
    <row r="421" spans="1:15" x14ac:dyDescent="0.25">
      <c r="A421" t="s">
        <v>94</v>
      </c>
      <c r="B421" s="1" t="s">
        <v>11</v>
      </c>
      <c r="C421" s="1">
        <v>2016</v>
      </c>
      <c r="D421" s="1">
        <v>3</v>
      </c>
      <c r="E421" s="1">
        <v>3</v>
      </c>
      <c r="F421" s="1">
        <v>3</v>
      </c>
      <c r="G421" s="1">
        <v>0</v>
      </c>
      <c r="H421" s="2">
        <v>0.97799999999999998</v>
      </c>
      <c r="I421" s="2">
        <v>1.098728887341111</v>
      </c>
      <c r="J421" s="6">
        <v>5853</v>
      </c>
      <c r="K421" s="7">
        <v>9.6531693148812572</v>
      </c>
      <c r="L421" s="7">
        <v>2.4602767811378783</v>
      </c>
      <c r="M421">
        <v>1.4</v>
      </c>
      <c r="O421" s="7"/>
    </row>
    <row r="422" spans="1:15" x14ac:dyDescent="0.25">
      <c r="A422" t="s">
        <v>94</v>
      </c>
      <c r="B422" s="1" t="s">
        <v>11</v>
      </c>
      <c r="C422" s="1">
        <v>2017</v>
      </c>
      <c r="D422" s="1">
        <v>3</v>
      </c>
      <c r="E422" s="1">
        <v>3</v>
      </c>
      <c r="F422" s="1">
        <v>3</v>
      </c>
      <c r="G422" s="1">
        <v>0</v>
      </c>
      <c r="H422" s="2">
        <v>0.97970000000000002</v>
      </c>
      <c r="I422" s="2">
        <v>1.2686815011624044</v>
      </c>
      <c r="J422" s="3">
        <v>5935</v>
      </c>
      <c r="K422">
        <v>9.6531693148812572</v>
      </c>
      <c r="L422">
        <v>2.4602767811378783</v>
      </c>
      <c r="M422">
        <v>1.4</v>
      </c>
    </row>
    <row r="423" spans="1:15" x14ac:dyDescent="0.25">
      <c r="A423" s="8" t="s">
        <v>94</v>
      </c>
      <c r="B423" s="1" t="s">
        <v>11</v>
      </c>
      <c r="C423" s="1">
        <v>2018</v>
      </c>
      <c r="D423" s="1">
        <v>3</v>
      </c>
      <c r="E423" s="1">
        <v>3</v>
      </c>
      <c r="F423" s="1">
        <v>3</v>
      </c>
      <c r="G423" s="1">
        <v>0</v>
      </c>
      <c r="H423" s="2">
        <v>2.2174999999999998</v>
      </c>
      <c r="I423" s="2">
        <v>1.0388375590889558</v>
      </c>
      <c r="J423" s="3">
        <v>5931</v>
      </c>
      <c r="K423">
        <v>9.6531693148812572</v>
      </c>
      <c r="L423">
        <v>2.4602767811378783</v>
      </c>
      <c r="M423">
        <v>1.4</v>
      </c>
    </row>
    <row r="424" spans="1:15" x14ac:dyDescent="0.25">
      <c r="A424" s="8" t="s">
        <v>95</v>
      </c>
      <c r="B424" s="1" t="s">
        <v>11</v>
      </c>
      <c r="C424" s="1">
        <v>2014</v>
      </c>
      <c r="D424" s="1">
        <v>3</v>
      </c>
      <c r="E424" s="1">
        <v>3</v>
      </c>
      <c r="F424" s="1">
        <v>3</v>
      </c>
      <c r="G424" s="1">
        <v>0</v>
      </c>
      <c r="H424" s="2">
        <v>1.0022450288646569</v>
      </c>
      <c r="I424" s="2">
        <v>0.97005222802533619</v>
      </c>
      <c r="J424" s="3">
        <v>6721</v>
      </c>
      <c r="K424">
        <v>19.956548727498451</v>
      </c>
      <c r="L424">
        <v>1.0862818125387959</v>
      </c>
      <c r="M424">
        <v>1.3</v>
      </c>
    </row>
    <row r="425" spans="1:15" x14ac:dyDescent="0.25">
      <c r="A425" s="8" t="s">
        <v>95</v>
      </c>
      <c r="B425" s="1" t="s">
        <v>11</v>
      </c>
      <c r="C425" s="1">
        <v>2015</v>
      </c>
      <c r="D425" s="1">
        <v>3</v>
      </c>
      <c r="E425" s="1">
        <v>3</v>
      </c>
      <c r="F425" s="1">
        <v>3</v>
      </c>
      <c r="G425" s="1">
        <v>0</v>
      </c>
      <c r="H425" s="2">
        <v>1.0144</v>
      </c>
      <c r="I425" s="2">
        <v>1.0793471508442989</v>
      </c>
      <c r="J425" s="3">
        <v>6668</v>
      </c>
      <c r="K425">
        <v>19.956548727498451</v>
      </c>
      <c r="L425">
        <v>1.0862818125387959</v>
      </c>
      <c r="M425">
        <v>1.3</v>
      </c>
    </row>
    <row r="426" spans="1:15" x14ac:dyDescent="0.25">
      <c r="A426" t="s">
        <v>95</v>
      </c>
      <c r="B426" s="1" t="s">
        <v>11</v>
      </c>
      <c r="C426" s="1">
        <v>2016</v>
      </c>
      <c r="D426" s="1">
        <v>3</v>
      </c>
      <c r="E426" s="1">
        <v>3</v>
      </c>
      <c r="F426" s="1">
        <v>3</v>
      </c>
      <c r="G426" s="1">
        <v>0</v>
      </c>
      <c r="H426" s="2">
        <v>0.6895</v>
      </c>
      <c r="I426" s="2">
        <v>1.2705827668351635</v>
      </c>
      <c r="J426" s="6">
        <v>6444</v>
      </c>
      <c r="K426" s="7">
        <v>19.956548727498451</v>
      </c>
      <c r="L426" s="7">
        <v>1.0862818125387959</v>
      </c>
      <c r="M426">
        <v>1.3</v>
      </c>
      <c r="O426" s="7"/>
    </row>
    <row r="427" spans="1:15" x14ac:dyDescent="0.25">
      <c r="A427" t="s">
        <v>95</v>
      </c>
      <c r="B427" s="1" t="s">
        <v>11</v>
      </c>
      <c r="C427" s="1">
        <v>2017</v>
      </c>
      <c r="D427" s="1">
        <v>3</v>
      </c>
      <c r="E427" s="1">
        <v>3</v>
      </c>
      <c r="F427" s="1">
        <v>3</v>
      </c>
      <c r="G427" s="1">
        <v>0</v>
      </c>
      <c r="H427" s="2">
        <v>1.2956999999999999</v>
      </c>
      <c r="I427" s="2">
        <v>1.2995758218451749</v>
      </c>
      <c r="J427" s="3">
        <v>6584</v>
      </c>
      <c r="K427">
        <v>19.956548727498451</v>
      </c>
      <c r="L427">
        <v>1.0862818125387959</v>
      </c>
      <c r="M427">
        <v>1.3</v>
      </c>
    </row>
    <row r="428" spans="1:15" x14ac:dyDescent="0.25">
      <c r="A428" s="8" t="s">
        <v>95</v>
      </c>
      <c r="B428" s="1" t="s">
        <v>11</v>
      </c>
      <c r="C428" s="1">
        <v>2018</v>
      </c>
      <c r="D428" s="1">
        <v>3</v>
      </c>
      <c r="E428" s="1">
        <v>3</v>
      </c>
      <c r="F428" s="1">
        <v>3</v>
      </c>
      <c r="G428" s="1">
        <v>0</v>
      </c>
      <c r="H428" s="2">
        <v>0.97920000000000007</v>
      </c>
      <c r="I428" s="2">
        <v>0.9913131605617489</v>
      </c>
      <c r="J428" s="3">
        <v>6567</v>
      </c>
      <c r="K428">
        <v>19.956548727498451</v>
      </c>
      <c r="L428">
        <v>1.0862818125387959</v>
      </c>
      <c r="M428">
        <v>1.2</v>
      </c>
    </row>
    <row r="429" spans="1:15" x14ac:dyDescent="0.25">
      <c r="A429" s="8" t="s">
        <v>96</v>
      </c>
      <c r="B429" s="1" t="s">
        <v>11</v>
      </c>
      <c r="C429" s="1">
        <v>2014</v>
      </c>
      <c r="D429" s="1">
        <v>1</v>
      </c>
      <c r="E429" s="1">
        <v>1</v>
      </c>
      <c r="F429" s="1">
        <v>1</v>
      </c>
      <c r="G429" s="1">
        <v>0</v>
      </c>
      <c r="H429" s="2">
        <v>1.1816942082464303</v>
      </c>
      <c r="I429" s="2">
        <v>1.0840715105436809</v>
      </c>
      <c r="J429" s="3">
        <v>158683</v>
      </c>
      <c r="K429">
        <v>3.5254677888451345</v>
      </c>
      <c r="L429">
        <v>9.9104316269013975</v>
      </c>
      <c r="M429">
        <v>849.7</v>
      </c>
    </row>
    <row r="430" spans="1:15" x14ac:dyDescent="0.25">
      <c r="A430" s="8" t="s">
        <v>96</v>
      </c>
      <c r="B430" s="1" t="s">
        <v>11</v>
      </c>
      <c r="C430" s="1">
        <v>2015</v>
      </c>
      <c r="D430" s="1">
        <v>1</v>
      </c>
      <c r="E430" s="1">
        <v>1</v>
      </c>
      <c r="F430" s="1">
        <v>1</v>
      </c>
      <c r="G430" s="1">
        <v>0</v>
      </c>
      <c r="H430" s="2">
        <v>0.68710000000000004</v>
      </c>
      <c r="I430" s="2">
        <v>1.1643998166143779</v>
      </c>
      <c r="J430" s="3">
        <v>159680</v>
      </c>
      <c r="K430">
        <v>3.5254677888451345</v>
      </c>
      <c r="L430">
        <v>9.9104316269013975</v>
      </c>
      <c r="M430">
        <v>855</v>
      </c>
    </row>
    <row r="431" spans="1:15" x14ac:dyDescent="0.25">
      <c r="A431" t="s">
        <v>96</v>
      </c>
      <c r="B431" s="1" t="s">
        <v>11</v>
      </c>
      <c r="C431" s="1">
        <v>2016</v>
      </c>
      <c r="D431" s="1">
        <v>1</v>
      </c>
      <c r="E431" s="1">
        <v>1</v>
      </c>
      <c r="F431" s="1">
        <v>1</v>
      </c>
      <c r="G431" s="1">
        <v>0</v>
      </c>
      <c r="H431" s="2">
        <v>1.1901999999999999</v>
      </c>
      <c r="I431" s="2">
        <v>1.1550301686984361</v>
      </c>
      <c r="J431" s="6">
        <v>155412</v>
      </c>
      <c r="K431" s="7">
        <v>3.5254677888451345</v>
      </c>
      <c r="L431" s="7">
        <v>9.9104316269013975</v>
      </c>
      <c r="M431">
        <v>860.5</v>
      </c>
      <c r="O431" s="7"/>
    </row>
    <row r="432" spans="1:15" x14ac:dyDescent="0.25">
      <c r="A432" t="s">
        <v>96</v>
      </c>
      <c r="B432" s="1" t="s">
        <v>11</v>
      </c>
      <c r="C432" s="1">
        <v>2017</v>
      </c>
      <c r="D432" s="1">
        <v>1</v>
      </c>
      <c r="E432" s="1">
        <v>1</v>
      </c>
      <c r="F432" s="1">
        <v>1</v>
      </c>
      <c r="G432" s="1">
        <v>0</v>
      </c>
      <c r="H432" s="2">
        <v>1.1757</v>
      </c>
      <c r="I432" s="2">
        <v>1.0918699740008464</v>
      </c>
      <c r="J432" s="3">
        <v>162477</v>
      </c>
      <c r="K432">
        <v>3.5254677888451345</v>
      </c>
      <c r="L432">
        <v>9.9104316269013975</v>
      </c>
      <c r="M432">
        <v>870</v>
      </c>
    </row>
    <row r="433" spans="1:15" x14ac:dyDescent="0.25">
      <c r="A433" s="8" t="s">
        <v>96</v>
      </c>
      <c r="B433" s="1" t="s">
        <v>11</v>
      </c>
      <c r="C433" s="1">
        <v>2018</v>
      </c>
      <c r="D433" s="1">
        <v>1</v>
      </c>
      <c r="E433" s="1">
        <v>1</v>
      </c>
      <c r="F433" s="1">
        <v>1</v>
      </c>
      <c r="G433" s="1">
        <v>0</v>
      </c>
      <c r="H433" s="2">
        <v>0.94989999999999997</v>
      </c>
      <c r="I433" s="2">
        <v>1.0181583984829239</v>
      </c>
      <c r="J433" s="3">
        <v>164104</v>
      </c>
      <c r="K433">
        <v>3.5254677888451345</v>
      </c>
      <c r="L433">
        <v>9.9104316269013975</v>
      </c>
      <c r="M433">
        <v>878.7</v>
      </c>
    </row>
    <row r="434" spans="1:15" x14ac:dyDescent="0.25">
      <c r="A434" s="8" t="s">
        <v>97</v>
      </c>
      <c r="B434" s="1" t="s">
        <v>11</v>
      </c>
      <c r="C434" s="1">
        <v>2014</v>
      </c>
      <c r="D434" s="1">
        <v>1</v>
      </c>
      <c r="E434" s="1">
        <v>1</v>
      </c>
      <c r="F434" s="1">
        <v>1</v>
      </c>
      <c r="G434" s="1">
        <v>0</v>
      </c>
      <c r="H434" s="2">
        <v>0.95852070088385799</v>
      </c>
      <c r="I434" s="2">
        <v>1.2862847110711457</v>
      </c>
      <c r="J434" s="3">
        <v>69754</v>
      </c>
      <c r="K434">
        <v>0.29413938363757303</v>
      </c>
      <c r="L434">
        <v>22.289557312837189</v>
      </c>
      <c r="M434">
        <v>6652.3</v>
      </c>
    </row>
    <row r="435" spans="1:15" x14ac:dyDescent="0.25">
      <c r="A435" s="8" t="s">
        <v>97</v>
      </c>
      <c r="B435" s="1" t="s">
        <v>11</v>
      </c>
      <c r="C435" s="1">
        <v>2015</v>
      </c>
      <c r="D435" s="1">
        <v>1</v>
      </c>
      <c r="E435" s="1">
        <v>1</v>
      </c>
      <c r="F435" s="1">
        <v>1</v>
      </c>
      <c r="G435" s="1">
        <v>0</v>
      </c>
      <c r="H435" s="2">
        <v>1.1115999999999999</v>
      </c>
      <c r="I435" s="2">
        <v>1.2410725727222245</v>
      </c>
      <c r="J435" s="3">
        <v>70860</v>
      </c>
      <c r="K435">
        <v>0.29413938363757303</v>
      </c>
      <c r="L435">
        <v>22.289557312837189</v>
      </c>
      <c r="M435">
        <v>6757.8</v>
      </c>
    </row>
    <row r="436" spans="1:15" x14ac:dyDescent="0.25">
      <c r="A436" t="s">
        <v>97</v>
      </c>
      <c r="B436" s="1" t="s">
        <v>11</v>
      </c>
      <c r="C436" s="1">
        <v>2016</v>
      </c>
      <c r="D436" s="1">
        <v>1</v>
      </c>
      <c r="E436" s="1">
        <v>1</v>
      </c>
      <c r="F436" s="1">
        <v>1</v>
      </c>
      <c r="G436" s="1">
        <v>0</v>
      </c>
      <c r="H436" s="2">
        <v>1.0680000000000001</v>
      </c>
      <c r="I436" s="2">
        <v>1.6203393929622314</v>
      </c>
      <c r="J436" s="6">
        <v>67655</v>
      </c>
      <c r="K436" s="7">
        <v>0.29413938363757303</v>
      </c>
      <c r="L436" s="7">
        <v>22.289557312837189</v>
      </c>
      <c r="M436">
        <v>6848.3</v>
      </c>
      <c r="O436" s="7"/>
    </row>
    <row r="437" spans="1:15" x14ac:dyDescent="0.25">
      <c r="A437" t="s">
        <v>97</v>
      </c>
      <c r="B437" s="1" t="s">
        <v>11</v>
      </c>
      <c r="C437" s="1">
        <v>2017</v>
      </c>
      <c r="D437" s="1">
        <v>1</v>
      </c>
      <c r="E437" s="1">
        <v>1</v>
      </c>
      <c r="F437" s="1">
        <v>1</v>
      </c>
      <c r="G437" s="1">
        <v>0</v>
      </c>
      <c r="H437" s="2">
        <v>0.99529999999999996</v>
      </c>
      <c r="I437" s="2">
        <v>1.2577907152008441</v>
      </c>
      <c r="J437" s="3">
        <v>73112</v>
      </c>
      <c r="K437">
        <v>0.29413938363757303</v>
      </c>
      <c r="L437">
        <v>22.289557312837189</v>
      </c>
      <c r="M437">
        <v>6972.5</v>
      </c>
    </row>
    <row r="438" spans="1:15" x14ac:dyDescent="0.25">
      <c r="A438" s="8" t="s">
        <v>97</v>
      </c>
      <c r="B438" s="1" t="s">
        <v>11</v>
      </c>
      <c r="C438" s="1">
        <v>2018</v>
      </c>
      <c r="D438" s="1">
        <v>1</v>
      </c>
      <c r="E438" s="1">
        <v>1</v>
      </c>
      <c r="F438" s="1">
        <v>1</v>
      </c>
      <c r="G438" s="1">
        <v>0</v>
      </c>
      <c r="H438" s="2">
        <v>1.0791999999999999</v>
      </c>
      <c r="I438" s="2">
        <v>1.0760664242014153</v>
      </c>
      <c r="J438" s="3">
        <v>74172</v>
      </c>
      <c r="K438">
        <v>0.29413938363757303</v>
      </c>
      <c r="L438">
        <v>22.289557312837189</v>
      </c>
      <c r="M438">
        <v>7073.6</v>
      </c>
    </row>
    <row r="439" spans="1:15" x14ac:dyDescent="0.25">
      <c r="A439" s="8" t="s">
        <v>98</v>
      </c>
      <c r="B439" s="1" t="s">
        <v>11</v>
      </c>
      <c r="C439" s="1">
        <v>2014</v>
      </c>
      <c r="D439" s="1">
        <v>1</v>
      </c>
      <c r="E439" s="1">
        <v>2</v>
      </c>
      <c r="F439" s="1">
        <v>1.5</v>
      </c>
      <c r="G439" s="1">
        <v>1</v>
      </c>
      <c r="J439" s="3">
        <v>259723</v>
      </c>
      <c r="K439">
        <v>0.6</v>
      </c>
      <c r="L439">
        <v>15.1</v>
      </c>
      <c r="M439">
        <v>1021.7</v>
      </c>
    </row>
    <row r="440" spans="1:15" x14ac:dyDescent="0.25">
      <c r="A440" s="8" t="s">
        <v>98</v>
      </c>
      <c r="B440" s="1" t="s">
        <v>11</v>
      </c>
      <c r="C440" s="1">
        <v>2015</v>
      </c>
      <c r="D440" s="1">
        <v>1</v>
      </c>
      <c r="E440" s="1">
        <v>2</v>
      </c>
      <c r="F440" s="1">
        <v>1.5</v>
      </c>
      <c r="G440" s="1">
        <v>1</v>
      </c>
      <c r="J440" s="3">
        <v>262593</v>
      </c>
      <c r="K440">
        <v>0.6</v>
      </c>
      <c r="L440">
        <v>15.1</v>
      </c>
      <c r="M440">
        <v>1033</v>
      </c>
    </row>
    <row r="441" spans="1:15" x14ac:dyDescent="0.25">
      <c r="A441" t="s">
        <v>98</v>
      </c>
      <c r="B441" s="1" t="s">
        <v>11</v>
      </c>
      <c r="C441" s="1">
        <v>2016</v>
      </c>
      <c r="D441" s="1">
        <v>1</v>
      </c>
      <c r="E441" s="1">
        <v>2</v>
      </c>
      <c r="F441" s="1">
        <v>1.5</v>
      </c>
      <c r="G441" s="1">
        <v>1</v>
      </c>
      <c r="J441" s="6">
        <v>268870</v>
      </c>
      <c r="K441" s="7">
        <v>0.6</v>
      </c>
      <c r="L441" s="7">
        <v>15.1</v>
      </c>
      <c r="M441">
        <v>1057.7</v>
      </c>
      <c r="O441" s="7"/>
    </row>
    <row r="442" spans="1:15" x14ac:dyDescent="0.25">
      <c r="A442" t="s">
        <v>98</v>
      </c>
      <c r="B442" s="1" t="s">
        <v>11</v>
      </c>
      <c r="C442" s="1">
        <v>2017</v>
      </c>
      <c r="D442" s="1">
        <v>1</v>
      </c>
      <c r="E442" s="1">
        <v>2</v>
      </c>
      <c r="F442" s="1">
        <v>1.5</v>
      </c>
      <c r="G442" s="1">
        <v>1</v>
      </c>
      <c r="H442" s="5">
        <v>1.0374000000000001</v>
      </c>
      <c r="I442" s="2">
        <f>1/0.9869</f>
        <v>1.0132738879319081</v>
      </c>
      <c r="J442" s="3">
        <v>268870</v>
      </c>
      <c r="K442">
        <v>0.6</v>
      </c>
      <c r="L442">
        <v>15.1</v>
      </c>
      <c r="M442">
        <v>1057.7</v>
      </c>
    </row>
    <row r="443" spans="1:15" x14ac:dyDescent="0.25">
      <c r="A443" s="8" t="s">
        <v>98</v>
      </c>
      <c r="B443" s="1" t="s">
        <v>11</v>
      </c>
      <c r="C443" s="1">
        <v>2018</v>
      </c>
      <c r="D443" s="1">
        <v>1</v>
      </c>
      <c r="E443" s="1">
        <v>2</v>
      </c>
      <c r="F443" s="1">
        <v>1.5</v>
      </c>
      <c r="G443" s="1">
        <v>1</v>
      </c>
      <c r="H443" s="2">
        <v>1.1698</v>
      </c>
      <c r="I443" s="2">
        <v>1.0867603874191802</v>
      </c>
      <c r="J443" s="3">
        <v>271278</v>
      </c>
      <c r="K443">
        <v>0.6</v>
      </c>
      <c r="L443">
        <v>15.1</v>
      </c>
      <c r="M443">
        <v>1067.2</v>
      </c>
    </row>
    <row r="444" spans="1:15" x14ac:dyDescent="0.25">
      <c r="A444" s="8" t="s">
        <v>99</v>
      </c>
      <c r="B444" s="1" t="s">
        <v>11</v>
      </c>
      <c r="C444" s="1">
        <v>2014</v>
      </c>
      <c r="D444" s="1">
        <v>2</v>
      </c>
      <c r="E444" s="1">
        <v>3</v>
      </c>
      <c r="F444" s="1">
        <v>2.5</v>
      </c>
      <c r="G444" s="1">
        <v>1</v>
      </c>
      <c r="H444" s="2">
        <v>0.98318991140575851</v>
      </c>
      <c r="I444" s="2">
        <v>1.0917954643940488</v>
      </c>
      <c r="J444" s="3">
        <v>5318</v>
      </c>
      <c r="K444">
        <v>3.3955857385398982</v>
      </c>
      <c r="L444">
        <v>3.3012639124693455</v>
      </c>
      <c r="M444">
        <v>1.5</v>
      </c>
    </row>
    <row r="445" spans="1:15" x14ac:dyDescent="0.25">
      <c r="A445" s="8" t="s">
        <v>99</v>
      </c>
      <c r="B445" s="1" t="s">
        <v>11</v>
      </c>
      <c r="C445" s="1">
        <v>2015</v>
      </c>
      <c r="D445" s="1">
        <v>2</v>
      </c>
      <c r="E445" s="1">
        <v>3</v>
      </c>
      <c r="F445" s="1">
        <v>2.5</v>
      </c>
      <c r="G445" s="1">
        <v>1</v>
      </c>
      <c r="H445" s="2">
        <v>0.85370000000000001</v>
      </c>
      <c r="I445" s="2">
        <v>1.0622412884774592</v>
      </c>
      <c r="J445" s="3">
        <v>5329</v>
      </c>
      <c r="K445">
        <v>3.3955857385398982</v>
      </c>
      <c r="L445">
        <v>3.3012639124693455</v>
      </c>
      <c r="M445">
        <v>1.5</v>
      </c>
    </row>
    <row r="446" spans="1:15" x14ac:dyDescent="0.25">
      <c r="A446" t="s">
        <v>99</v>
      </c>
      <c r="B446" s="1" t="s">
        <v>11</v>
      </c>
      <c r="C446" s="1">
        <v>2016</v>
      </c>
      <c r="D446" s="1">
        <v>2</v>
      </c>
      <c r="E446" s="1">
        <v>3</v>
      </c>
      <c r="F446" s="1">
        <v>2.5</v>
      </c>
      <c r="G446" s="1">
        <v>1</v>
      </c>
      <c r="H446" s="2">
        <v>2.9607999999999999</v>
      </c>
      <c r="I446" s="2">
        <v>1.2931620183101233</v>
      </c>
      <c r="J446" s="6">
        <v>5301</v>
      </c>
      <c r="K446" s="7">
        <v>3.3955857385398982</v>
      </c>
      <c r="L446" s="7">
        <v>3.3012639124693455</v>
      </c>
      <c r="M446">
        <v>1.5</v>
      </c>
      <c r="O446" s="7"/>
    </row>
    <row r="447" spans="1:15" x14ac:dyDescent="0.25">
      <c r="A447" t="s">
        <v>99</v>
      </c>
      <c r="B447" s="1" t="s">
        <v>11</v>
      </c>
      <c r="C447" s="1">
        <v>2017</v>
      </c>
      <c r="D447" s="1">
        <v>2</v>
      </c>
      <c r="E447" s="1">
        <v>3</v>
      </c>
      <c r="F447" s="1">
        <v>2.5</v>
      </c>
      <c r="G447" s="1">
        <v>1</v>
      </c>
      <c r="H447" s="2">
        <v>0.93779999999999997</v>
      </c>
      <c r="I447" s="2">
        <v>1.2952260470071244</v>
      </c>
      <c r="J447" s="3">
        <v>5387</v>
      </c>
      <c r="K447">
        <v>3.3955857385398982</v>
      </c>
      <c r="L447">
        <v>3.3012639124693455</v>
      </c>
      <c r="M447">
        <v>1.5</v>
      </c>
    </row>
    <row r="448" spans="1:15" x14ac:dyDescent="0.25">
      <c r="A448" s="8" t="s">
        <v>99</v>
      </c>
      <c r="B448" s="1" t="s">
        <v>11</v>
      </c>
      <c r="C448" s="1">
        <v>2018</v>
      </c>
      <c r="D448" s="1">
        <v>2</v>
      </c>
      <c r="E448" s="1">
        <v>3</v>
      </c>
      <c r="F448" s="1">
        <v>2.5</v>
      </c>
      <c r="G448" s="1">
        <v>1</v>
      </c>
      <c r="H448" s="2">
        <v>0.60630000000000006</v>
      </c>
      <c r="I448" s="2">
        <v>1.2782662453633742</v>
      </c>
      <c r="J448" s="3">
        <v>5408</v>
      </c>
      <c r="K448">
        <v>3.3955857385398982</v>
      </c>
      <c r="L448">
        <v>3.3012639124693455</v>
      </c>
      <c r="M448">
        <v>1.5</v>
      </c>
    </row>
    <row r="449" spans="1:15" x14ac:dyDescent="0.25">
      <c r="A449" s="8" t="s">
        <v>100</v>
      </c>
      <c r="B449" s="1" t="s">
        <v>11</v>
      </c>
      <c r="C449" s="1">
        <v>2014</v>
      </c>
      <c r="D449" s="1">
        <v>2</v>
      </c>
      <c r="E449" s="1">
        <v>2</v>
      </c>
      <c r="F449" s="1">
        <v>2</v>
      </c>
      <c r="G449" s="1">
        <v>0</v>
      </c>
      <c r="H449" s="2">
        <v>1.1851102114260008</v>
      </c>
      <c r="I449" s="2">
        <v>1.5619918823803509</v>
      </c>
      <c r="J449" s="3">
        <v>40619</v>
      </c>
      <c r="K449">
        <v>6.3224942995935365</v>
      </c>
      <c r="L449">
        <v>5.9309011599087933</v>
      </c>
      <c r="M449">
        <v>142.9</v>
      </c>
    </row>
    <row r="450" spans="1:15" x14ac:dyDescent="0.25">
      <c r="A450" s="8" t="s">
        <v>100</v>
      </c>
      <c r="B450" s="1" t="s">
        <v>11</v>
      </c>
      <c r="C450" s="1">
        <v>2015</v>
      </c>
      <c r="D450" s="1">
        <v>2</v>
      </c>
      <c r="E450" s="1">
        <v>2</v>
      </c>
      <c r="F450" s="1">
        <v>2</v>
      </c>
      <c r="G450" s="1">
        <v>0</v>
      </c>
      <c r="H450" s="2">
        <v>0.73140000000000005</v>
      </c>
      <c r="I450" s="2">
        <v>1.5359066877145506</v>
      </c>
      <c r="J450" s="3">
        <v>40837</v>
      </c>
      <c r="K450">
        <v>6.3224942995935365</v>
      </c>
      <c r="L450">
        <v>5.9309011599087933</v>
      </c>
      <c r="M450">
        <v>143.69999999999999</v>
      </c>
    </row>
    <row r="451" spans="1:15" x14ac:dyDescent="0.25">
      <c r="A451" t="s">
        <v>100</v>
      </c>
      <c r="B451" s="1" t="s">
        <v>11</v>
      </c>
      <c r="C451" s="1">
        <v>2016</v>
      </c>
      <c r="D451" s="1">
        <v>2</v>
      </c>
      <c r="E451" s="1">
        <v>2</v>
      </c>
      <c r="F451" s="1">
        <v>2</v>
      </c>
      <c r="G451" s="1">
        <v>0</v>
      </c>
      <c r="H451" s="2">
        <v>0.35729999999999995</v>
      </c>
      <c r="I451" s="2">
        <v>1.3411895946074244</v>
      </c>
      <c r="J451" s="6">
        <v>40348</v>
      </c>
      <c r="K451" s="7">
        <v>6.3224942995935365</v>
      </c>
      <c r="L451" s="7">
        <v>5.9309011599087933</v>
      </c>
      <c r="M451">
        <v>145</v>
      </c>
      <c r="O451" s="7"/>
    </row>
    <row r="452" spans="1:15" x14ac:dyDescent="0.25">
      <c r="A452" t="s">
        <v>100</v>
      </c>
      <c r="B452" s="1" t="s">
        <v>11</v>
      </c>
      <c r="C452" s="1">
        <v>2017</v>
      </c>
      <c r="D452" s="1">
        <v>2</v>
      </c>
      <c r="E452" s="1">
        <v>2</v>
      </c>
      <c r="F452" s="1">
        <v>2</v>
      </c>
      <c r="G452" s="1">
        <v>0</v>
      </c>
      <c r="H452" s="2">
        <v>0.31969999999999998</v>
      </c>
      <c r="I452" s="2">
        <v>1.3988654970760235</v>
      </c>
      <c r="J452" s="3">
        <v>41501</v>
      </c>
      <c r="K452">
        <v>6.3224942995935365</v>
      </c>
      <c r="L452">
        <v>5.9309011599087933</v>
      </c>
      <c r="M452">
        <v>146</v>
      </c>
    </row>
    <row r="453" spans="1:15" x14ac:dyDescent="0.25">
      <c r="A453" s="8" t="s">
        <v>100</v>
      </c>
      <c r="B453" s="1" t="s">
        <v>11</v>
      </c>
      <c r="C453" s="1">
        <v>2018</v>
      </c>
      <c r="D453" s="1">
        <v>2</v>
      </c>
      <c r="E453" s="1">
        <v>2</v>
      </c>
      <c r="F453" s="1">
        <v>2</v>
      </c>
      <c r="G453" s="1">
        <v>0</v>
      </c>
      <c r="H453" s="2">
        <v>0.11169999999999999</v>
      </c>
      <c r="I453" s="2">
        <v>1.162286352804351</v>
      </c>
      <c r="J453" s="3">
        <v>42056</v>
      </c>
      <c r="K453">
        <v>6.3224942995935365</v>
      </c>
      <c r="L453">
        <v>5.9309011599087933</v>
      </c>
      <c r="M453">
        <v>148</v>
      </c>
    </row>
    <row r="454" spans="1:15" x14ac:dyDescent="0.25">
      <c r="A454" s="8" t="s">
        <v>101</v>
      </c>
      <c r="B454" s="1" t="s">
        <v>11</v>
      </c>
      <c r="C454" s="1">
        <v>2014</v>
      </c>
      <c r="D454" s="1">
        <v>3</v>
      </c>
      <c r="E454" s="1">
        <v>3</v>
      </c>
      <c r="F454" s="1">
        <v>3</v>
      </c>
      <c r="G454" s="1">
        <v>0</v>
      </c>
      <c r="H454" s="2">
        <v>0.98659762880562063</v>
      </c>
      <c r="I454" s="2">
        <v>1.2218729612715735</v>
      </c>
      <c r="J454" s="3">
        <v>14991</v>
      </c>
      <c r="K454">
        <v>10.033536376702484</v>
      </c>
      <c r="L454">
        <v>2.7102867702415989</v>
      </c>
      <c r="M454">
        <v>2.5</v>
      </c>
    </row>
    <row r="455" spans="1:15" x14ac:dyDescent="0.25">
      <c r="A455" s="8" t="s">
        <v>101</v>
      </c>
      <c r="B455" s="1" t="s">
        <v>11</v>
      </c>
      <c r="C455" s="1">
        <v>2015</v>
      </c>
      <c r="D455" s="1">
        <v>3</v>
      </c>
      <c r="E455" s="1">
        <v>3</v>
      </c>
      <c r="F455" s="1">
        <v>3</v>
      </c>
      <c r="G455" s="1">
        <v>0</v>
      </c>
      <c r="H455" s="2">
        <v>1.0786</v>
      </c>
      <c r="I455" s="2">
        <v>1.1846767167410301</v>
      </c>
      <c r="J455" s="3">
        <v>14954</v>
      </c>
      <c r="K455">
        <v>10.033536376702484</v>
      </c>
      <c r="L455">
        <v>2.7102867702415989</v>
      </c>
      <c r="M455">
        <v>2.5</v>
      </c>
    </row>
    <row r="456" spans="1:15" x14ac:dyDescent="0.25">
      <c r="A456" t="s">
        <v>101</v>
      </c>
      <c r="B456" s="1" t="s">
        <v>11</v>
      </c>
      <c r="C456" s="1">
        <v>2016</v>
      </c>
      <c r="D456" s="1">
        <v>3</v>
      </c>
      <c r="E456" s="1">
        <v>3</v>
      </c>
      <c r="F456" s="1">
        <v>3</v>
      </c>
      <c r="G456" s="1">
        <v>0</v>
      </c>
      <c r="H456" s="2">
        <v>1.0585</v>
      </c>
      <c r="I456" s="2">
        <v>1.9087455566710987</v>
      </c>
      <c r="J456" s="6">
        <v>14611</v>
      </c>
      <c r="K456" s="7">
        <v>10.033536376702484</v>
      </c>
      <c r="L456" s="7">
        <v>2.7102867702415989</v>
      </c>
      <c r="M456">
        <v>2.5</v>
      </c>
      <c r="O456" s="7"/>
    </row>
    <row r="457" spans="1:15" x14ac:dyDescent="0.25">
      <c r="A457" t="s">
        <v>101</v>
      </c>
      <c r="B457" s="1" t="s">
        <v>11</v>
      </c>
      <c r="C457" s="1">
        <v>2017</v>
      </c>
      <c r="D457" s="1">
        <v>3</v>
      </c>
      <c r="E457" s="1">
        <v>3</v>
      </c>
      <c r="F457" s="1">
        <v>3</v>
      </c>
      <c r="G457" s="1">
        <v>0</v>
      </c>
      <c r="H457" s="2">
        <v>1.1499999999999999</v>
      </c>
      <c r="I457" s="2">
        <v>1.6015374610989828</v>
      </c>
      <c r="J457" s="3">
        <v>14916</v>
      </c>
      <c r="K457">
        <v>10.033536376702484</v>
      </c>
      <c r="L457">
        <v>2.7102867702415989</v>
      </c>
      <c r="M457">
        <v>2.5</v>
      </c>
    </row>
    <row r="458" spans="1:15" x14ac:dyDescent="0.25">
      <c r="A458" s="8" t="s">
        <v>101</v>
      </c>
      <c r="B458" s="1" t="s">
        <v>11</v>
      </c>
      <c r="C458" s="1">
        <v>2018</v>
      </c>
      <c r="D458" s="1">
        <v>3</v>
      </c>
      <c r="E458" s="1">
        <v>3</v>
      </c>
      <c r="F458" s="1">
        <v>3</v>
      </c>
      <c r="G458" s="1">
        <v>0</v>
      </c>
      <c r="H458" s="2">
        <v>1.1482999999999999</v>
      </c>
      <c r="I458" s="2">
        <v>0.99918068230956558</v>
      </c>
      <c r="J458" s="3">
        <v>14894</v>
      </c>
      <c r="K458">
        <v>10.033536376702484</v>
      </c>
      <c r="L458">
        <v>2.7102867702415989</v>
      </c>
      <c r="M458">
        <v>2.5</v>
      </c>
    </row>
    <row r="459" spans="1:15" x14ac:dyDescent="0.25">
      <c r="A459" s="8" t="s">
        <v>102</v>
      </c>
      <c r="B459" s="1" t="s">
        <v>11</v>
      </c>
      <c r="C459" s="1">
        <v>2014</v>
      </c>
      <c r="D459" s="1">
        <v>1</v>
      </c>
      <c r="E459" s="1">
        <v>1</v>
      </c>
      <c r="F459" s="1">
        <v>1</v>
      </c>
      <c r="G459" s="1">
        <v>0</v>
      </c>
      <c r="H459" s="2">
        <v>1.0995028719931268</v>
      </c>
      <c r="I459" s="2">
        <v>1.114340325155645</v>
      </c>
      <c r="J459" s="3">
        <v>221107</v>
      </c>
      <c r="K459">
        <v>0.8</v>
      </c>
      <c r="L459">
        <v>52</v>
      </c>
      <c r="M459">
        <v>2637.6</v>
      </c>
    </row>
    <row r="460" spans="1:15" x14ac:dyDescent="0.25">
      <c r="A460" s="8" t="s">
        <v>102</v>
      </c>
      <c r="B460" s="1" t="s">
        <v>11</v>
      </c>
      <c r="C460" s="1">
        <v>2015</v>
      </c>
      <c r="D460" s="1">
        <v>1</v>
      </c>
      <c r="E460" s="1">
        <v>1</v>
      </c>
      <c r="F460" s="1">
        <v>1</v>
      </c>
      <c r="G460" s="1">
        <v>0</v>
      </c>
      <c r="H460" s="2">
        <v>0.96810000000000007</v>
      </c>
      <c r="I460" s="2">
        <v>1.1173942866365396</v>
      </c>
      <c r="J460" s="3">
        <v>227649</v>
      </c>
      <c r="K460">
        <v>0.8</v>
      </c>
      <c r="L460">
        <v>52</v>
      </c>
      <c r="M460">
        <v>2715.6</v>
      </c>
    </row>
    <row r="461" spans="1:15" x14ac:dyDescent="0.25">
      <c r="A461" t="s">
        <v>102</v>
      </c>
      <c r="B461" s="1" t="s">
        <v>11</v>
      </c>
      <c r="C461" s="1">
        <v>2016</v>
      </c>
      <c r="D461" s="1">
        <v>1</v>
      </c>
      <c r="E461" s="1">
        <v>1</v>
      </c>
      <c r="F461" s="1">
        <v>1</v>
      </c>
      <c r="G461" s="1">
        <v>0</v>
      </c>
      <c r="H461" s="2">
        <f>26996/33898</f>
        <v>0.79638916750250754</v>
      </c>
      <c r="I461" s="2">
        <f>191358/179118</f>
        <v>1.0683348407195257</v>
      </c>
      <c r="J461" s="6">
        <v>243557</v>
      </c>
      <c r="K461" s="11">
        <v>0.8</v>
      </c>
      <c r="L461" s="11">
        <v>52</v>
      </c>
      <c r="M461">
        <v>2905.4</v>
      </c>
      <c r="O461" s="7"/>
    </row>
    <row r="462" spans="1:15" x14ac:dyDescent="0.25">
      <c r="A462" t="s">
        <v>102</v>
      </c>
      <c r="B462" s="1" t="s">
        <v>11</v>
      </c>
      <c r="C462" s="1">
        <v>2017</v>
      </c>
      <c r="D462" s="1">
        <v>1</v>
      </c>
      <c r="E462" s="1">
        <v>1</v>
      </c>
      <c r="F462" s="1">
        <v>1</v>
      </c>
      <c r="G462" s="1">
        <v>0</v>
      </c>
      <c r="H462" s="2">
        <f>48659/45898</f>
        <v>1.0601551265850364</v>
      </c>
      <c r="I462" s="2">
        <f>274929/273697</f>
        <v>1.0045013281110133</v>
      </c>
      <c r="J462" s="3">
        <v>243557</v>
      </c>
      <c r="K462">
        <v>0.8</v>
      </c>
      <c r="L462">
        <v>52</v>
      </c>
      <c r="M462">
        <v>2905.4</v>
      </c>
    </row>
    <row r="463" spans="1:15" x14ac:dyDescent="0.25">
      <c r="A463" s="8" t="s">
        <v>102</v>
      </c>
      <c r="B463" s="1" t="s">
        <v>11</v>
      </c>
      <c r="C463" s="1">
        <v>2018</v>
      </c>
      <c r="D463" s="1">
        <v>1</v>
      </c>
      <c r="E463" s="1">
        <v>1</v>
      </c>
      <c r="F463" s="1">
        <v>1</v>
      </c>
      <c r="G463" s="1">
        <v>0</v>
      </c>
      <c r="H463" s="2">
        <v>0.95799999999999996</v>
      </c>
      <c r="I463" s="2">
        <v>0.95347009603649235</v>
      </c>
      <c r="J463" s="3">
        <v>251311</v>
      </c>
      <c r="K463">
        <v>0.8</v>
      </c>
      <c r="L463">
        <v>52</v>
      </c>
      <c r="M463">
        <v>2997.9</v>
      </c>
    </row>
    <row r="464" spans="1:15" x14ac:dyDescent="0.25">
      <c r="A464" s="8" t="s">
        <v>103</v>
      </c>
      <c r="B464" s="1" t="s">
        <v>11</v>
      </c>
      <c r="C464" s="1">
        <v>2014</v>
      </c>
      <c r="D464" s="1">
        <v>1</v>
      </c>
      <c r="E464" s="1">
        <v>2</v>
      </c>
      <c r="F464" s="1">
        <v>1.5</v>
      </c>
      <c r="G464" s="1">
        <v>1</v>
      </c>
      <c r="H464" s="2">
        <v>0.83697759343582345</v>
      </c>
      <c r="I464" s="2">
        <v>1.1154263577967836</v>
      </c>
      <c r="J464" s="3">
        <v>193765</v>
      </c>
      <c r="K464">
        <v>3.9502407377182962</v>
      </c>
      <c r="L464">
        <v>16.866941406887548</v>
      </c>
      <c r="M464">
        <v>478.8</v>
      </c>
    </row>
    <row r="465" spans="1:15" x14ac:dyDescent="0.25">
      <c r="A465" s="8" t="s">
        <v>103</v>
      </c>
      <c r="B465" s="1" t="s">
        <v>11</v>
      </c>
      <c r="C465" s="1">
        <v>2015</v>
      </c>
      <c r="D465" s="1">
        <v>1</v>
      </c>
      <c r="E465" s="1">
        <v>2</v>
      </c>
      <c r="F465" s="1">
        <v>1.5</v>
      </c>
      <c r="G465" s="1">
        <v>1</v>
      </c>
      <c r="H465" s="2">
        <v>1.1372</v>
      </c>
      <c r="I465" s="2">
        <v>1.3345973423121558</v>
      </c>
      <c r="J465" s="3">
        <v>197678</v>
      </c>
      <c r="K465">
        <v>3.9502407377182962</v>
      </c>
      <c r="L465">
        <v>16.866941406887548</v>
      </c>
      <c r="M465">
        <v>488.5</v>
      </c>
    </row>
    <row r="466" spans="1:15" x14ac:dyDescent="0.25">
      <c r="A466" t="s">
        <v>103</v>
      </c>
      <c r="B466" s="1" t="s">
        <v>11</v>
      </c>
      <c r="C466" s="1">
        <v>2016</v>
      </c>
      <c r="D466" s="1">
        <v>1</v>
      </c>
      <c r="E466" s="1">
        <v>2</v>
      </c>
      <c r="F466" s="1">
        <v>1.5</v>
      </c>
      <c r="G466" s="1">
        <v>1</v>
      </c>
      <c r="H466" s="2">
        <v>1.0680000000000001</v>
      </c>
      <c r="I466" s="2">
        <v>1.3468291024705306</v>
      </c>
      <c r="J466" s="6">
        <v>196064</v>
      </c>
      <c r="K466" s="7">
        <v>3.9502407377182962</v>
      </c>
      <c r="L466" s="7">
        <v>16.866941406887548</v>
      </c>
      <c r="M466">
        <v>498.1</v>
      </c>
      <c r="O466" s="7"/>
    </row>
    <row r="467" spans="1:15" x14ac:dyDescent="0.25">
      <c r="A467" t="s">
        <v>103</v>
      </c>
      <c r="B467" s="1" t="s">
        <v>11</v>
      </c>
      <c r="C467" s="1">
        <v>2017</v>
      </c>
      <c r="D467" s="1">
        <v>1</v>
      </c>
      <c r="E467" s="1">
        <v>2</v>
      </c>
      <c r="F467" s="1">
        <v>1.5</v>
      </c>
      <c r="G467" s="1">
        <v>1</v>
      </c>
      <c r="H467" s="2">
        <v>1.0072000000000001</v>
      </c>
      <c r="I467" s="2">
        <v>1.2513688113792405</v>
      </c>
      <c r="J467" s="3">
        <v>205220</v>
      </c>
      <c r="K467">
        <v>3.9502407377182962</v>
      </c>
      <c r="L467">
        <v>16.866941406887548</v>
      </c>
      <c r="M467">
        <v>507.1</v>
      </c>
    </row>
    <row r="468" spans="1:15" x14ac:dyDescent="0.25">
      <c r="A468" s="8" t="s">
        <v>103</v>
      </c>
      <c r="B468" s="1" t="s">
        <v>11</v>
      </c>
      <c r="C468" s="1">
        <v>2018</v>
      </c>
      <c r="D468" s="1">
        <v>1</v>
      </c>
      <c r="E468" s="1">
        <v>2</v>
      </c>
      <c r="F468" s="1">
        <v>1.5</v>
      </c>
      <c r="G468" s="1">
        <v>1</v>
      </c>
      <c r="H468" s="2">
        <v>0.99299999999999999</v>
      </c>
      <c r="I468" s="2">
        <v>1.0768079897407998</v>
      </c>
      <c r="J468" s="3">
        <v>209210</v>
      </c>
      <c r="K468">
        <v>3.9502407377182962</v>
      </c>
      <c r="L468">
        <v>16.866941406887548</v>
      </c>
      <c r="M468">
        <v>516.9</v>
      </c>
    </row>
    <row r="469" spans="1:15" x14ac:dyDescent="0.25">
      <c r="A469" s="8" t="s">
        <v>104</v>
      </c>
      <c r="B469" s="1" t="s">
        <v>11</v>
      </c>
      <c r="C469" s="1">
        <v>2014</v>
      </c>
      <c r="D469" s="1">
        <v>2</v>
      </c>
      <c r="E469" s="1">
        <v>3</v>
      </c>
      <c r="F469" s="1">
        <v>2.5</v>
      </c>
      <c r="G469" s="1">
        <v>1</v>
      </c>
      <c r="H469" s="2">
        <v>2.2258392675483214</v>
      </c>
      <c r="I469" s="2">
        <v>1.2189077621556277</v>
      </c>
      <c r="J469" s="3">
        <v>78048</v>
      </c>
      <c r="K469">
        <v>4.0424746310844011</v>
      </c>
      <c r="L469">
        <v>3.0404502107179687</v>
      </c>
      <c r="M469">
        <v>21.2</v>
      </c>
    </row>
    <row r="470" spans="1:15" x14ac:dyDescent="0.25">
      <c r="A470" s="8" t="s">
        <v>104</v>
      </c>
      <c r="B470" s="1" t="s">
        <v>11</v>
      </c>
      <c r="C470" s="1">
        <v>2015</v>
      </c>
      <c r="D470" s="1">
        <v>2</v>
      </c>
      <c r="E470" s="1">
        <v>3</v>
      </c>
      <c r="F470" s="1">
        <v>2.5</v>
      </c>
      <c r="G470" s="1">
        <v>1</v>
      </c>
      <c r="H470" s="2">
        <v>0.86460000000000004</v>
      </c>
      <c r="I470" s="2">
        <v>1.2167880123145163</v>
      </c>
      <c r="J470" s="3">
        <v>78997</v>
      </c>
      <c r="K470">
        <v>4.0424746310844011</v>
      </c>
      <c r="L470">
        <v>3.0404502107179687</v>
      </c>
      <c r="M470">
        <v>21.5</v>
      </c>
    </row>
    <row r="471" spans="1:15" x14ac:dyDescent="0.25">
      <c r="A471" t="s">
        <v>104</v>
      </c>
      <c r="B471" s="1" t="s">
        <v>11</v>
      </c>
      <c r="C471" s="1">
        <v>2016</v>
      </c>
      <c r="D471" s="1">
        <v>2</v>
      </c>
      <c r="E471" s="1">
        <v>3</v>
      </c>
      <c r="F471" s="1">
        <v>2.5</v>
      </c>
      <c r="G471" s="1">
        <v>1</v>
      </c>
      <c r="H471" s="2">
        <v>0.87080000000000002</v>
      </c>
      <c r="I471" s="2">
        <v>1.4895461996825479</v>
      </c>
      <c r="J471" s="6">
        <v>78541</v>
      </c>
      <c r="K471" s="7">
        <v>4.0424746310844011</v>
      </c>
      <c r="L471" s="7">
        <v>3.0404502107179687</v>
      </c>
      <c r="M471">
        <v>21.7</v>
      </c>
      <c r="O471" s="7"/>
    </row>
    <row r="472" spans="1:15" x14ac:dyDescent="0.25">
      <c r="A472" t="s">
        <v>104</v>
      </c>
      <c r="B472" s="1" t="s">
        <v>11</v>
      </c>
      <c r="C472" s="1">
        <v>2017</v>
      </c>
      <c r="D472" s="1">
        <v>2</v>
      </c>
      <c r="E472" s="1">
        <v>3</v>
      </c>
      <c r="F472" s="1">
        <v>2.5</v>
      </c>
      <c r="G472" s="1">
        <v>1</v>
      </c>
      <c r="H472" s="2">
        <v>0.87849999999999995</v>
      </c>
      <c r="I472" s="2">
        <v>1.6615547755354063</v>
      </c>
      <c r="J472" s="3">
        <v>81441</v>
      </c>
      <c r="K472">
        <v>4.0424746310844011</v>
      </c>
      <c r="L472">
        <v>3.0404502107179687</v>
      </c>
      <c r="M472">
        <v>22.1</v>
      </c>
    </row>
    <row r="473" spans="1:15" x14ac:dyDescent="0.25">
      <c r="A473" s="8" t="s">
        <v>104</v>
      </c>
      <c r="B473" s="1" t="s">
        <v>11</v>
      </c>
      <c r="C473" s="1">
        <v>2018</v>
      </c>
      <c r="D473" s="1">
        <v>2</v>
      </c>
      <c r="E473" s="1">
        <v>3</v>
      </c>
      <c r="F473" s="1">
        <v>2.5</v>
      </c>
      <c r="G473" s="1">
        <v>1</v>
      </c>
      <c r="H473" s="2">
        <v>0.91430000000000011</v>
      </c>
      <c r="I473" s="2">
        <v>1.0488455511958872</v>
      </c>
      <c r="J473" s="3">
        <v>83131</v>
      </c>
      <c r="K473">
        <v>4.0424746310844011</v>
      </c>
      <c r="L473">
        <v>3.0404502107179687</v>
      </c>
      <c r="M473">
        <v>22.6</v>
      </c>
    </row>
    <row r="474" spans="1:15" x14ac:dyDescent="0.25">
      <c r="A474" s="8" t="s">
        <v>105</v>
      </c>
      <c r="B474" s="1" t="s">
        <v>11</v>
      </c>
      <c r="C474" s="1">
        <v>2014</v>
      </c>
      <c r="D474" s="1">
        <v>1</v>
      </c>
      <c r="E474" s="1">
        <v>2</v>
      </c>
      <c r="F474" s="1">
        <v>1.5</v>
      </c>
      <c r="G474" s="1">
        <v>1</v>
      </c>
      <c r="H474" s="2">
        <v>1.8088163265306123</v>
      </c>
      <c r="I474" s="2">
        <v>1.1397110676794746</v>
      </c>
      <c r="J474" s="3">
        <v>69537</v>
      </c>
      <c r="K474">
        <v>4.7846339640002302</v>
      </c>
      <c r="L474">
        <v>3.3857611133475185</v>
      </c>
      <c r="M474">
        <v>81</v>
      </c>
    </row>
    <row r="475" spans="1:15" x14ac:dyDescent="0.25">
      <c r="A475" s="8" t="s">
        <v>105</v>
      </c>
      <c r="B475" s="1" t="s">
        <v>11</v>
      </c>
      <c r="C475" s="1">
        <v>2015</v>
      </c>
      <c r="D475" s="1">
        <v>1</v>
      </c>
      <c r="E475" s="1">
        <v>2</v>
      </c>
      <c r="F475" s="1">
        <v>1.5</v>
      </c>
      <c r="G475" s="1">
        <v>1</v>
      </c>
      <c r="H475" s="2">
        <v>0.94650000000000001</v>
      </c>
      <c r="I475" s="2">
        <v>1.0722876951357203</v>
      </c>
      <c r="J475" s="3">
        <v>70257</v>
      </c>
      <c r="K475">
        <v>4.7846339640002302</v>
      </c>
      <c r="L475">
        <v>3.3857611133475185</v>
      </c>
      <c r="M475">
        <v>81.8</v>
      </c>
    </row>
    <row r="476" spans="1:15" x14ac:dyDescent="0.25">
      <c r="A476" t="s">
        <v>105</v>
      </c>
      <c r="B476" s="1" t="s">
        <v>11</v>
      </c>
      <c r="C476" s="1">
        <v>2016</v>
      </c>
      <c r="D476" s="1">
        <v>1</v>
      </c>
      <c r="E476" s="1">
        <v>2</v>
      </c>
      <c r="F476" s="1">
        <v>1.5</v>
      </c>
      <c r="G476" s="1">
        <v>1</v>
      </c>
      <c r="H476" s="2">
        <v>1.4159999999999999</v>
      </c>
      <c r="I476" s="2">
        <v>1.1745357899168436</v>
      </c>
      <c r="J476" s="6">
        <v>69556</v>
      </c>
      <c r="K476" s="7">
        <v>4.7846339640002302</v>
      </c>
      <c r="L476" s="7">
        <v>3.3857611133475185</v>
      </c>
      <c r="M476">
        <v>82.8</v>
      </c>
      <c r="O476" s="7"/>
    </row>
    <row r="477" spans="1:15" x14ac:dyDescent="0.25">
      <c r="A477" t="s">
        <v>105</v>
      </c>
      <c r="B477" s="1" t="s">
        <v>11</v>
      </c>
      <c r="C477" s="1">
        <v>2017</v>
      </c>
      <c r="D477" s="1">
        <v>1</v>
      </c>
      <c r="E477" s="1">
        <v>2</v>
      </c>
      <c r="F477" s="1">
        <v>1.5</v>
      </c>
      <c r="G477" s="1">
        <v>1</v>
      </c>
      <c r="H477" s="2">
        <v>0.93340000000000001</v>
      </c>
      <c r="I477" s="2">
        <v>1.2074312169553743</v>
      </c>
      <c r="J477" s="3">
        <v>71772</v>
      </c>
      <c r="K477">
        <v>4.7846339640002302</v>
      </c>
      <c r="L477">
        <v>3.3857611133475185</v>
      </c>
      <c r="M477">
        <v>83.6</v>
      </c>
    </row>
    <row r="478" spans="1:15" x14ac:dyDescent="0.25">
      <c r="A478" s="8" t="s">
        <v>105</v>
      </c>
      <c r="B478" s="1" t="s">
        <v>11</v>
      </c>
      <c r="C478" s="1">
        <v>2018</v>
      </c>
      <c r="D478" s="1">
        <v>1</v>
      </c>
      <c r="E478" s="1">
        <v>2</v>
      </c>
      <c r="F478" s="1">
        <v>1.5</v>
      </c>
      <c r="G478" s="1">
        <v>1</v>
      </c>
      <c r="H478" s="2">
        <v>1.2309999999999999</v>
      </c>
      <c r="I478" s="2">
        <v>0.99919955932728555</v>
      </c>
      <c r="J478" s="3">
        <v>72695</v>
      </c>
      <c r="K478">
        <v>4.7846339640002302</v>
      </c>
      <c r="L478">
        <v>3.3857611133475185</v>
      </c>
      <c r="M478">
        <v>84.7</v>
      </c>
    </row>
    <row r="479" spans="1:15" x14ac:dyDescent="0.25">
      <c r="A479" s="8" t="s">
        <v>106</v>
      </c>
      <c r="B479" s="1" t="s">
        <v>11</v>
      </c>
      <c r="C479" s="1">
        <v>2014</v>
      </c>
      <c r="D479" s="1">
        <v>1</v>
      </c>
      <c r="E479" s="1">
        <v>3</v>
      </c>
      <c r="F479" s="1">
        <v>2</v>
      </c>
      <c r="G479" s="1">
        <v>2</v>
      </c>
      <c r="J479" s="3">
        <v>56537</v>
      </c>
      <c r="K479">
        <v>3.1</v>
      </c>
      <c r="L479">
        <v>12.1</v>
      </c>
      <c r="M479">
        <v>10.6</v>
      </c>
    </row>
    <row r="480" spans="1:15" x14ac:dyDescent="0.25">
      <c r="A480" s="8" t="s">
        <v>106</v>
      </c>
      <c r="B480" s="1" t="s">
        <v>11</v>
      </c>
      <c r="C480" s="1">
        <v>2015</v>
      </c>
      <c r="D480" s="1">
        <v>1</v>
      </c>
      <c r="E480" s="1">
        <v>3</v>
      </c>
      <c r="F480" s="1">
        <v>2</v>
      </c>
      <c r="G480" s="1">
        <v>2</v>
      </c>
      <c r="J480" s="3">
        <v>57130</v>
      </c>
      <c r="K480">
        <v>3.1</v>
      </c>
      <c r="L480">
        <v>12.1</v>
      </c>
      <c r="M480">
        <v>10.7</v>
      </c>
    </row>
    <row r="481" spans="1:15" x14ac:dyDescent="0.25">
      <c r="A481" t="s">
        <v>106</v>
      </c>
      <c r="B481" s="1" t="s">
        <v>11</v>
      </c>
      <c r="C481" s="1">
        <v>2016</v>
      </c>
      <c r="D481" s="1">
        <v>1</v>
      </c>
      <c r="E481" s="1">
        <v>3</v>
      </c>
      <c r="F481" s="1">
        <v>2</v>
      </c>
      <c r="G481" s="1">
        <v>2</v>
      </c>
      <c r="J481" s="6">
        <v>58816</v>
      </c>
      <c r="K481" s="11">
        <v>3.1</v>
      </c>
      <c r="L481" s="11">
        <v>12.1</v>
      </c>
      <c r="M481">
        <v>11.1</v>
      </c>
      <c r="O481" s="7"/>
    </row>
    <row r="482" spans="1:15" x14ac:dyDescent="0.25">
      <c r="A482" t="s">
        <v>106</v>
      </c>
      <c r="B482" s="1" t="s">
        <v>11</v>
      </c>
      <c r="C482" s="1">
        <v>2017</v>
      </c>
      <c r="D482" s="1">
        <v>1</v>
      </c>
      <c r="E482" s="1">
        <v>3</v>
      </c>
      <c r="F482" s="1">
        <v>2</v>
      </c>
      <c r="G482" s="1">
        <v>2</v>
      </c>
      <c r="H482" s="2">
        <f>28298/42075</f>
        <v>0.67256090314913841</v>
      </c>
      <c r="I482" s="2">
        <f>146138/137629</f>
        <v>1.0618256326791591</v>
      </c>
      <c r="J482" s="3">
        <v>58816</v>
      </c>
      <c r="K482">
        <v>3.1</v>
      </c>
      <c r="L482">
        <v>12.1</v>
      </c>
      <c r="M482">
        <v>11.1</v>
      </c>
    </row>
    <row r="483" spans="1:15" x14ac:dyDescent="0.25">
      <c r="A483" s="8" t="s">
        <v>106</v>
      </c>
      <c r="B483" s="1" t="s">
        <v>11</v>
      </c>
      <c r="C483" s="1">
        <v>2018</v>
      </c>
      <c r="D483" s="1">
        <v>1</v>
      </c>
      <c r="E483" s="1">
        <v>3</v>
      </c>
      <c r="F483" s="1">
        <v>2</v>
      </c>
      <c r="G483" s="1">
        <v>2</v>
      </c>
      <c r="H483" s="2">
        <v>0.92019999999999991</v>
      </c>
      <c r="I483" s="2">
        <v>1.013364498612668</v>
      </c>
      <c r="J483" s="3">
        <v>59959</v>
      </c>
      <c r="K483">
        <v>3.1</v>
      </c>
      <c r="L483">
        <v>12.1</v>
      </c>
      <c r="M483">
        <v>11.3</v>
      </c>
    </row>
    <row r="484" spans="1:15" x14ac:dyDescent="0.25">
      <c r="A484" s="8" t="s">
        <v>107</v>
      </c>
      <c r="B484" s="1" t="s">
        <v>11</v>
      </c>
      <c r="C484" s="1">
        <v>2014</v>
      </c>
      <c r="D484" s="1">
        <v>1</v>
      </c>
      <c r="E484" s="1">
        <v>1</v>
      </c>
      <c r="F484" s="1">
        <v>1</v>
      </c>
      <c r="G484" s="1">
        <v>0</v>
      </c>
      <c r="H484" s="2">
        <v>0.7733128834355828</v>
      </c>
      <c r="I484" s="2">
        <v>1.0769206163885134</v>
      </c>
      <c r="J484" s="3">
        <v>144814</v>
      </c>
      <c r="K484">
        <v>1.5256755699955211</v>
      </c>
      <c r="L484">
        <v>32.071179234887211</v>
      </c>
      <c r="M484">
        <v>3986</v>
      </c>
    </row>
    <row r="485" spans="1:15" x14ac:dyDescent="0.25">
      <c r="A485" s="8" t="s">
        <v>107</v>
      </c>
      <c r="B485" s="1" t="s">
        <v>11</v>
      </c>
      <c r="C485" s="1">
        <v>2015</v>
      </c>
      <c r="D485" s="1">
        <v>1</v>
      </c>
      <c r="E485" s="1">
        <v>1</v>
      </c>
      <c r="F485" s="1">
        <v>1</v>
      </c>
      <c r="G485" s="1">
        <v>0</v>
      </c>
      <c r="H485" s="2">
        <v>1.4008</v>
      </c>
      <c r="I485" s="2">
        <v>1.0871806160712931</v>
      </c>
      <c r="J485" s="3">
        <v>146908</v>
      </c>
      <c r="K485">
        <v>1.5256755699955211</v>
      </c>
      <c r="L485">
        <v>32.071179234887211</v>
      </c>
      <c r="M485">
        <v>4043.6</v>
      </c>
    </row>
    <row r="486" spans="1:15" x14ac:dyDescent="0.25">
      <c r="A486" t="s">
        <v>107</v>
      </c>
      <c r="B486" s="1" t="s">
        <v>11</v>
      </c>
      <c r="C486" s="1">
        <v>2016</v>
      </c>
      <c r="D486" s="1">
        <v>1</v>
      </c>
      <c r="E486" s="1">
        <v>1</v>
      </c>
      <c r="F486" s="1">
        <v>1</v>
      </c>
      <c r="G486" s="1">
        <v>0</v>
      </c>
      <c r="H486" s="2">
        <v>1.4359</v>
      </c>
      <c r="I486" s="2">
        <v>1.0824904843484557</v>
      </c>
      <c r="J486" s="6">
        <v>140659</v>
      </c>
      <c r="K486" s="7">
        <v>1.5256755699955211</v>
      </c>
      <c r="L486" s="7">
        <v>32.071179234887211</v>
      </c>
      <c r="M486">
        <v>4099</v>
      </c>
      <c r="O486" s="7"/>
    </row>
    <row r="487" spans="1:15" x14ac:dyDescent="0.25">
      <c r="A487" t="s">
        <v>107</v>
      </c>
      <c r="B487" s="1" t="s">
        <v>11</v>
      </c>
      <c r="C487" s="1">
        <v>2017</v>
      </c>
      <c r="D487" s="1">
        <v>1</v>
      </c>
      <c r="E487" s="1">
        <v>1</v>
      </c>
      <c r="F487" s="1">
        <v>1</v>
      </c>
      <c r="G487" s="1">
        <v>0</v>
      </c>
      <c r="H487" s="2">
        <v>1.5478999999999998</v>
      </c>
      <c r="I487" s="2">
        <v>1.0673449678305698</v>
      </c>
      <c r="J487" s="3">
        <v>152149</v>
      </c>
      <c r="K487">
        <v>1.5256755699955211</v>
      </c>
      <c r="L487">
        <v>32.071179234887211</v>
      </c>
      <c r="M487">
        <v>4187.8</v>
      </c>
    </row>
    <row r="488" spans="1:15" x14ac:dyDescent="0.25">
      <c r="A488" s="8" t="s">
        <v>107</v>
      </c>
      <c r="B488" s="1" t="s">
        <v>11</v>
      </c>
      <c r="C488" s="1">
        <v>2018</v>
      </c>
      <c r="D488" s="1">
        <v>1</v>
      </c>
      <c r="E488" s="1">
        <v>1</v>
      </c>
      <c r="F488" s="1">
        <v>1</v>
      </c>
      <c r="G488" s="1">
        <v>0</v>
      </c>
      <c r="H488" s="2">
        <v>1.5993999999999999</v>
      </c>
      <c r="I488" s="2">
        <v>1.0659842063119529</v>
      </c>
      <c r="J488" s="3">
        <v>154265</v>
      </c>
      <c r="K488">
        <v>1.5256755699955211</v>
      </c>
      <c r="L488">
        <v>32.071179234887211</v>
      </c>
      <c r="M488">
        <v>4246.1000000000004</v>
      </c>
    </row>
    <row r="489" spans="1:15" x14ac:dyDescent="0.25">
      <c r="A489" s="8" t="s">
        <v>108</v>
      </c>
      <c r="B489" s="1" t="s">
        <v>11</v>
      </c>
      <c r="C489" s="1">
        <v>2014</v>
      </c>
      <c r="D489" s="1">
        <v>2</v>
      </c>
      <c r="E489" s="1">
        <v>3</v>
      </c>
      <c r="F489" s="1">
        <v>2.5</v>
      </c>
      <c r="G489" s="1">
        <v>1</v>
      </c>
      <c r="H489" s="2">
        <v>0.95866554762903899</v>
      </c>
      <c r="I489" s="2">
        <v>0.99834936906804506</v>
      </c>
      <c r="J489" s="3">
        <v>23087</v>
      </c>
      <c r="K489">
        <v>7.1782503836877884</v>
      </c>
      <c r="L489">
        <v>1.6750712563034422</v>
      </c>
      <c r="M489">
        <v>7.6</v>
      </c>
    </row>
    <row r="490" spans="1:15" x14ac:dyDescent="0.25">
      <c r="A490" s="8" t="s">
        <v>108</v>
      </c>
      <c r="B490" s="1" t="s">
        <v>11</v>
      </c>
      <c r="C490" s="1">
        <v>2015</v>
      </c>
      <c r="D490" s="1">
        <v>2</v>
      </c>
      <c r="E490" s="1">
        <v>3</v>
      </c>
      <c r="F490" s="1">
        <v>2.5</v>
      </c>
      <c r="G490" s="1">
        <v>1</v>
      </c>
      <c r="H490" s="2">
        <v>0.9708</v>
      </c>
      <c r="I490" s="2">
        <v>1.0750037674108199</v>
      </c>
      <c r="J490" s="3">
        <v>23148</v>
      </c>
      <c r="K490">
        <v>7.1782503836877884</v>
      </c>
      <c r="L490">
        <v>1.6750712563034422</v>
      </c>
      <c r="M490">
        <v>7.6</v>
      </c>
    </row>
    <row r="491" spans="1:15" x14ac:dyDescent="0.25">
      <c r="A491" t="s">
        <v>108</v>
      </c>
      <c r="B491" s="1" t="s">
        <v>11</v>
      </c>
      <c r="C491" s="1">
        <v>2016</v>
      </c>
      <c r="D491" s="1">
        <v>2</v>
      </c>
      <c r="E491" s="1">
        <v>3</v>
      </c>
      <c r="F491" s="1">
        <v>2.5</v>
      </c>
      <c r="G491" s="1">
        <v>1</v>
      </c>
      <c r="H491" s="2">
        <v>1.0937000000000001</v>
      </c>
      <c r="I491" s="2">
        <v>1.0362617057909544</v>
      </c>
      <c r="J491" s="6">
        <v>22805</v>
      </c>
      <c r="K491" s="7">
        <v>7.1782503836877884</v>
      </c>
      <c r="L491" s="7">
        <v>1.6750712563034422</v>
      </c>
      <c r="M491">
        <v>7.6</v>
      </c>
      <c r="O491" s="7"/>
    </row>
    <row r="492" spans="1:15" x14ac:dyDescent="0.25">
      <c r="A492" t="s">
        <v>108</v>
      </c>
      <c r="B492" s="1" t="s">
        <v>11</v>
      </c>
      <c r="C492" s="1">
        <v>2017</v>
      </c>
      <c r="D492" s="1">
        <v>2</v>
      </c>
      <c r="E492" s="1">
        <v>3</v>
      </c>
      <c r="F492" s="1">
        <v>2.5</v>
      </c>
      <c r="G492" s="1">
        <v>1</v>
      </c>
      <c r="H492" s="2">
        <v>1.1384000000000001</v>
      </c>
      <c r="I492" s="2">
        <v>1.1533574390717247</v>
      </c>
      <c r="J492" s="3">
        <v>23331</v>
      </c>
      <c r="K492">
        <v>7.1782503836877884</v>
      </c>
      <c r="L492">
        <v>1.6750712563034422</v>
      </c>
      <c r="M492">
        <v>7.7</v>
      </c>
    </row>
    <row r="493" spans="1:15" x14ac:dyDescent="0.25">
      <c r="A493" s="8" t="s">
        <v>108</v>
      </c>
      <c r="B493" s="1" t="s">
        <v>11</v>
      </c>
      <c r="C493" s="1">
        <v>2018</v>
      </c>
      <c r="D493" s="1">
        <v>2</v>
      </c>
      <c r="E493" s="1">
        <v>3</v>
      </c>
      <c r="F493" s="1">
        <v>2.5</v>
      </c>
      <c r="G493" s="1">
        <v>1</v>
      </c>
      <c r="H493" s="2">
        <v>1.1915</v>
      </c>
      <c r="I493" s="2">
        <v>0.93804572999554703</v>
      </c>
      <c r="J493" s="3">
        <v>23399</v>
      </c>
      <c r="K493">
        <v>7.1782503836877884</v>
      </c>
      <c r="L493">
        <v>1.6750712563034422</v>
      </c>
      <c r="M493">
        <v>7.7</v>
      </c>
    </row>
    <row r="494" spans="1:15" x14ac:dyDescent="0.25">
      <c r="A494" s="8" t="s">
        <v>109</v>
      </c>
      <c r="B494" s="1" t="s">
        <v>11</v>
      </c>
      <c r="C494" s="1">
        <v>2014</v>
      </c>
      <c r="D494" s="1">
        <v>1</v>
      </c>
      <c r="E494" s="1">
        <v>1</v>
      </c>
      <c r="F494" s="1">
        <v>1</v>
      </c>
      <c r="G494" s="1">
        <v>0</v>
      </c>
      <c r="H494" s="2">
        <v>1.0962488690931866</v>
      </c>
      <c r="I494" s="2">
        <v>1.1642734303288633</v>
      </c>
      <c r="J494" s="3">
        <v>115843</v>
      </c>
      <c r="K494">
        <v>0.36886091621956252</v>
      </c>
      <c r="L494">
        <v>48.065414775072227</v>
      </c>
      <c r="M494">
        <v>2862.1</v>
      </c>
    </row>
    <row r="495" spans="1:15" x14ac:dyDescent="0.25">
      <c r="A495" s="8" t="s">
        <v>109</v>
      </c>
      <c r="B495" s="1" t="s">
        <v>11</v>
      </c>
      <c r="C495" s="1">
        <v>2015</v>
      </c>
      <c r="D495" s="1">
        <v>1</v>
      </c>
      <c r="E495" s="1">
        <v>1</v>
      </c>
      <c r="F495" s="1">
        <v>1</v>
      </c>
      <c r="G495" s="1">
        <v>0</v>
      </c>
      <c r="H495" s="2">
        <v>1.0803</v>
      </c>
      <c r="I495" s="2">
        <v>1.440631884369459</v>
      </c>
      <c r="J495" s="3">
        <v>118499</v>
      </c>
      <c r="K495">
        <v>0.36886091621956252</v>
      </c>
      <c r="L495">
        <v>48.065414775072227</v>
      </c>
      <c r="M495">
        <v>2927.7</v>
      </c>
    </row>
    <row r="496" spans="1:15" x14ac:dyDescent="0.25">
      <c r="A496" t="s">
        <v>109</v>
      </c>
      <c r="B496" s="1" t="s">
        <v>11</v>
      </c>
      <c r="C496" s="1">
        <v>2016</v>
      </c>
      <c r="D496" s="1">
        <v>1</v>
      </c>
      <c r="E496" s="1">
        <v>1</v>
      </c>
      <c r="F496" s="1">
        <v>1</v>
      </c>
      <c r="G496" s="1">
        <v>0</v>
      </c>
      <c r="H496" s="2">
        <v>0.88300000000000001</v>
      </c>
      <c r="I496" s="2">
        <v>1.767890748933403</v>
      </c>
      <c r="J496" s="6">
        <v>116304</v>
      </c>
      <c r="K496" s="7">
        <v>0.36886091621956252</v>
      </c>
      <c r="L496" s="7">
        <v>48.065414775072227</v>
      </c>
      <c r="M496">
        <v>2996.2</v>
      </c>
      <c r="O496" s="7"/>
    </row>
    <row r="497" spans="1:15" x14ac:dyDescent="0.25">
      <c r="A497" t="s">
        <v>109</v>
      </c>
      <c r="B497" s="1" t="s">
        <v>11</v>
      </c>
      <c r="C497" s="1">
        <v>2017</v>
      </c>
      <c r="D497" s="1">
        <v>1</v>
      </c>
      <c r="E497" s="1">
        <v>1</v>
      </c>
      <c r="F497" s="1">
        <v>1</v>
      </c>
      <c r="G497" s="1">
        <v>0</v>
      </c>
      <c r="H497" s="2">
        <v>0.9294</v>
      </c>
      <c r="I497" s="2">
        <v>1.3709257211403294</v>
      </c>
      <c r="J497" s="3">
        <v>124619</v>
      </c>
      <c r="K497">
        <v>0.36886091621956252</v>
      </c>
      <c r="L497">
        <v>48.065414775072227</v>
      </c>
      <c r="M497">
        <v>3078.9</v>
      </c>
    </row>
    <row r="498" spans="1:15" x14ac:dyDescent="0.25">
      <c r="A498" s="8" t="s">
        <v>109</v>
      </c>
      <c r="B498" s="1" t="s">
        <v>11</v>
      </c>
      <c r="C498" s="1">
        <v>2018</v>
      </c>
      <c r="D498" s="1">
        <v>1</v>
      </c>
      <c r="E498" s="1">
        <v>1</v>
      </c>
      <c r="F498" s="1">
        <v>1</v>
      </c>
      <c r="G498" s="1">
        <v>0</v>
      </c>
      <c r="H498" s="2">
        <v>0.93</v>
      </c>
      <c r="I498" s="2">
        <v>1.1492550905183405</v>
      </c>
      <c r="J498" s="3">
        <v>127446</v>
      </c>
      <c r="K498">
        <v>0.36886091621956252</v>
      </c>
      <c r="L498">
        <v>48.065414775072227</v>
      </c>
      <c r="M498">
        <v>3148.8</v>
      </c>
    </row>
    <row r="499" spans="1:15" x14ac:dyDescent="0.25">
      <c r="A499" s="8" t="s">
        <v>110</v>
      </c>
      <c r="B499" s="1" t="s">
        <v>11</v>
      </c>
      <c r="C499" s="1">
        <v>2014</v>
      </c>
      <c r="D499" s="1">
        <v>1</v>
      </c>
      <c r="E499" s="1">
        <v>2</v>
      </c>
      <c r="F499" s="1">
        <v>1.5</v>
      </c>
      <c r="G499" s="1">
        <v>1</v>
      </c>
      <c r="H499" s="2">
        <v>1.8013221990257482</v>
      </c>
      <c r="I499" s="2">
        <v>1.1654693793775817</v>
      </c>
      <c r="J499" s="3">
        <v>68658</v>
      </c>
      <c r="K499">
        <v>3.834355828220859</v>
      </c>
      <c r="L499">
        <v>10.379783815366638</v>
      </c>
      <c r="M499">
        <v>465.7</v>
      </c>
    </row>
    <row r="500" spans="1:15" x14ac:dyDescent="0.25">
      <c r="A500" s="8" t="s">
        <v>110</v>
      </c>
      <c r="B500" s="1" t="s">
        <v>11</v>
      </c>
      <c r="C500" s="1">
        <v>2015</v>
      </c>
      <c r="D500" s="1">
        <v>1</v>
      </c>
      <c r="E500" s="1">
        <v>2</v>
      </c>
      <c r="F500" s="1">
        <v>1.5</v>
      </c>
      <c r="G500" s="1">
        <v>1</v>
      </c>
      <c r="H500" s="2">
        <v>0.9194</v>
      </c>
      <c r="I500" s="2">
        <v>1.1947505490813604</v>
      </c>
      <c r="J500" s="3">
        <v>69474</v>
      </c>
      <c r="K500">
        <v>3.834355828220859</v>
      </c>
      <c r="L500">
        <v>10.379783815366638</v>
      </c>
      <c r="M500">
        <v>471.3</v>
      </c>
    </row>
    <row r="501" spans="1:15" x14ac:dyDescent="0.25">
      <c r="A501" t="s">
        <v>110</v>
      </c>
      <c r="B501" s="1" t="s">
        <v>11</v>
      </c>
      <c r="C501" s="1">
        <v>2016</v>
      </c>
      <c r="D501" s="1">
        <v>1</v>
      </c>
      <c r="E501" s="1">
        <v>2</v>
      </c>
      <c r="F501" s="1">
        <v>1.5</v>
      </c>
      <c r="G501" s="1">
        <v>1</v>
      </c>
      <c r="H501" s="2">
        <v>1.0798000000000001</v>
      </c>
      <c r="I501" s="2">
        <v>1.4003275731105203</v>
      </c>
      <c r="J501" s="6">
        <v>68460</v>
      </c>
      <c r="K501" s="7">
        <v>3.834355828220859</v>
      </c>
      <c r="L501" s="7">
        <v>10.379783815366638</v>
      </c>
      <c r="M501">
        <v>477.5</v>
      </c>
      <c r="O501" s="7"/>
    </row>
    <row r="502" spans="1:15" x14ac:dyDescent="0.25">
      <c r="A502" t="s">
        <v>110</v>
      </c>
      <c r="B502" s="1" t="s">
        <v>11</v>
      </c>
      <c r="C502" s="1">
        <v>2017</v>
      </c>
      <c r="D502" s="1">
        <v>1</v>
      </c>
      <c r="E502" s="1">
        <v>2</v>
      </c>
      <c r="F502" s="1">
        <v>1.5</v>
      </c>
      <c r="G502" s="1">
        <v>1</v>
      </c>
      <c r="H502" s="2">
        <v>1.1255999999999999</v>
      </c>
      <c r="I502" s="2">
        <v>1.4398658304692391</v>
      </c>
      <c r="J502" s="3">
        <v>71036</v>
      </c>
      <c r="K502">
        <v>3.834355828220859</v>
      </c>
      <c r="L502">
        <v>10.379783815366638</v>
      </c>
      <c r="M502">
        <v>481.9</v>
      </c>
    </row>
    <row r="503" spans="1:15" x14ac:dyDescent="0.25">
      <c r="A503" s="8" t="s">
        <v>110</v>
      </c>
      <c r="B503" s="1" t="s">
        <v>11</v>
      </c>
      <c r="C503" s="1">
        <v>2018</v>
      </c>
      <c r="D503" s="1">
        <v>1</v>
      </c>
      <c r="E503" s="1">
        <v>2</v>
      </c>
      <c r="F503" s="1">
        <v>1.5</v>
      </c>
      <c r="G503" s="1">
        <v>1</v>
      </c>
      <c r="H503" s="2">
        <v>1.0867</v>
      </c>
      <c r="I503" s="2">
        <v>1.0995327847538523</v>
      </c>
      <c r="J503" s="3">
        <v>72240</v>
      </c>
      <c r="K503">
        <v>3.834355828220859</v>
      </c>
      <c r="L503">
        <v>10.379783815366638</v>
      </c>
      <c r="M503">
        <v>490</v>
      </c>
    </row>
    <row r="504" spans="1:15" x14ac:dyDescent="0.25">
      <c r="A504" s="8" t="s">
        <v>111</v>
      </c>
      <c r="B504" s="1" t="s">
        <v>11</v>
      </c>
      <c r="C504" s="1">
        <v>2014</v>
      </c>
      <c r="D504" s="1">
        <v>2</v>
      </c>
      <c r="E504" s="1">
        <v>2</v>
      </c>
      <c r="F504" s="1">
        <v>2</v>
      </c>
      <c r="G504" s="1">
        <v>0</v>
      </c>
      <c r="H504" s="2">
        <v>1.2179578904333606</v>
      </c>
      <c r="I504" s="2">
        <v>1.0771763521590505</v>
      </c>
      <c r="J504" s="3">
        <v>99292</v>
      </c>
      <c r="K504">
        <v>5.5143553874098084</v>
      </c>
      <c r="L504">
        <v>4.0291422894359199</v>
      </c>
      <c r="M504">
        <v>21.7</v>
      </c>
    </row>
    <row r="505" spans="1:15" x14ac:dyDescent="0.25">
      <c r="A505" s="8" t="s">
        <v>111</v>
      </c>
      <c r="B505" s="1" t="s">
        <v>11</v>
      </c>
      <c r="C505" s="1">
        <v>2015</v>
      </c>
      <c r="D505" s="1">
        <v>2</v>
      </c>
      <c r="E505" s="1">
        <v>2</v>
      </c>
      <c r="F505" s="1">
        <v>2</v>
      </c>
      <c r="G505" s="1">
        <v>0</v>
      </c>
      <c r="H505" s="2">
        <v>0.89810000000000001</v>
      </c>
      <c r="I505" s="2">
        <v>1.2100289518185197</v>
      </c>
      <c r="J505" s="3">
        <v>100550</v>
      </c>
      <c r="K505">
        <v>5.5143553874098084</v>
      </c>
      <c r="L505">
        <v>4.0291422894359199</v>
      </c>
      <c r="M505">
        <v>22</v>
      </c>
    </row>
    <row r="506" spans="1:15" x14ac:dyDescent="0.25">
      <c r="A506" t="s">
        <v>111</v>
      </c>
      <c r="B506" s="1" t="s">
        <v>11</v>
      </c>
      <c r="C506" s="1">
        <v>2016</v>
      </c>
      <c r="D506" s="1">
        <v>2</v>
      </c>
      <c r="E506" s="1">
        <v>2</v>
      </c>
      <c r="F506" s="1">
        <v>2</v>
      </c>
      <c r="G506" s="1">
        <v>0</v>
      </c>
      <c r="H506" s="2">
        <v>0.878</v>
      </c>
      <c r="I506" s="2">
        <v>1.1946307407752652</v>
      </c>
      <c r="J506" s="6">
        <v>99649</v>
      </c>
      <c r="K506" s="7">
        <v>5.5143553874098084</v>
      </c>
      <c r="L506" s="7">
        <v>4.0291422894359199</v>
      </c>
      <c r="M506">
        <v>22.3</v>
      </c>
      <c r="O506" s="7"/>
    </row>
    <row r="507" spans="1:15" x14ac:dyDescent="0.25">
      <c r="A507" t="s">
        <v>111</v>
      </c>
      <c r="B507" s="1" t="s">
        <v>11</v>
      </c>
      <c r="C507" s="1">
        <v>2017</v>
      </c>
      <c r="D507" s="1">
        <v>2</v>
      </c>
      <c r="E507" s="1">
        <v>2</v>
      </c>
      <c r="F507" s="1">
        <v>2</v>
      </c>
      <c r="G507" s="1">
        <v>0</v>
      </c>
      <c r="H507" s="2">
        <v>0.88450000000000006</v>
      </c>
      <c r="I507" s="2">
        <v>1.1652528805610047</v>
      </c>
      <c r="J507" s="3">
        <v>103061</v>
      </c>
      <c r="K507">
        <v>5.5143553874098084</v>
      </c>
      <c r="L507">
        <v>4.0291422894359199</v>
      </c>
      <c r="M507">
        <v>22.6</v>
      </c>
    </row>
    <row r="508" spans="1:15" x14ac:dyDescent="0.25">
      <c r="A508" s="8" t="s">
        <v>111</v>
      </c>
      <c r="B508" s="1" t="s">
        <v>11</v>
      </c>
      <c r="C508" s="1">
        <v>2018</v>
      </c>
      <c r="D508" s="1">
        <v>2</v>
      </c>
      <c r="E508" s="1">
        <v>2</v>
      </c>
      <c r="F508" s="1">
        <v>2</v>
      </c>
      <c r="G508" s="1">
        <v>0</v>
      </c>
      <c r="H508" s="2">
        <v>0.88180000000000003</v>
      </c>
      <c r="I508" s="2">
        <v>1.0801752867247667</v>
      </c>
      <c r="J508" s="3">
        <v>104371</v>
      </c>
      <c r="K508">
        <v>5.5143553874098084</v>
      </c>
      <c r="L508">
        <v>4.0291422894359199</v>
      </c>
      <c r="M508">
        <v>22.9</v>
      </c>
    </row>
    <row r="509" spans="1:15" x14ac:dyDescent="0.25">
      <c r="A509" s="8" t="s">
        <v>112</v>
      </c>
      <c r="B509" s="1" t="s">
        <v>11</v>
      </c>
      <c r="C509" s="1">
        <v>2014</v>
      </c>
      <c r="D509" s="1">
        <v>2</v>
      </c>
      <c r="E509" s="1">
        <v>3</v>
      </c>
      <c r="F509" s="1">
        <v>2.5</v>
      </c>
      <c r="G509" s="1">
        <v>1</v>
      </c>
      <c r="H509" s="2">
        <v>1.4515924375079305</v>
      </c>
      <c r="I509" s="2">
        <v>1.0812131985334963</v>
      </c>
      <c r="J509" s="3">
        <v>23597</v>
      </c>
      <c r="K509">
        <v>5.6720313179643327</v>
      </c>
      <c r="L509">
        <v>3.1535450195737278</v>
      </c>
      <c r="M509">
        <v>4.8</v>
      </c>
    </row>
    <row r="510" spans="1:15" x14ac:dyDescent="0.25">
      <c r="A510" s="8" t="s">
        <v>112</v>
      </c>
      <c r="B510" s="1" t="s">
        <v>11</v>
      </c>
      <c r="C510" s="1">
        <v>2015</v>
      </c>
      <c r="D510" s="1">
        <v>2</v>
      </c>
      <c r="E510" s="1">
        <v>3</v>
      </c>
      <c r="F510" s="1">
        <v>2.5</v>
      </c>
      <c r="G510" s="1">
        <v>1</v>
      </c>
      <c r="H510" s="2">
        <v>0.97009999999999996</v>
      </c>
      <c r="I510" s="2">
        <v>1.2854115153655952</v>
      </c>
      <c r="J510" s="3">
        <v>23586</v>
      </c>
      <c r="K510">
        <v>5.6720313179643327</v>
      </c>
      <c r="L510">
        <v>3.1535450195737278</v>
      </c>
      <c r="M510">
        <v>4.8</v>
      </c>
    </row>
    <row r="511" spans="1:15" x14ac:dyDescent="0.25">
      <c r="A511" t="s">
        <v>112</v>
      </c>
      <c r="B511" s="1" t="s">
        <v>11</v>
      </c>
      <c r="C511" s="1">
        <v>2016</v>
      </c>
      <c r="D511" s="1">
        <v>2</v>
      </c>
      <c r="E511" s="1">
        <v>3</v>
      </c>
      <c r="F511" s="1">
        <v>2.5</v>
      </c>
      <c r="G511" s="1">
        <v>1</v>
      </c>
      <c r="H511" s="2">
        <v>0.71319999999999995</v>
      </c>
      <c r="I511" s="2">
        <v>1.754292040216326</v>
      </c>
      <c r="J511" s="6">
        <v>22990</v>
      </c>
      <c r="K511" s="7">
        <v>5.6720313179643327</v>
      </c>
      <c r="L511" s="7">
        <v>3.1535450195737278</v>
      </c>
      <c r="M511">
        <v>4.8</v>
      </c>
      <c r="O511" s="7"/>
    </row>
    <row r="512" spans="1:15" x14ac:dyDescent="0.25">
      <c r="A512" t="s">
        <v>112</v>
      </c>
      <c r="B512" s="1" t="s">
        <v>11</v>
      </c>
      <c r="C512" s="1">
        <v>2017</v>
      </c>
      <c r="D512" s="1">
        <v>2</v>
      </c>
      <c r="E512" s="1">
        <v>3</v>
      </c>
      <c r="F512" s="1">
        <v>2.5</v>
      </c>
      <c r="G512" s="1">
        <v>1</v>
      </c>
      <c r="H512" s="2">
        <v>0.62719999999999998</v>
      </c>
      <c r="I512" s="2">
        <v>1.2394498974103034</v>
      </c>
      <c r="J512" s="3">
        <v>23499</v>
      </c>
      <c r="K512">
        <v>5.6720313179643327</v>
      </c>
      <c r="L512">
        <v>3.1535450195737278</v>
      </c>
      <c r="M512">
        <v>4.8</v>
      </c>
    </row>
    <row r="513" spans="1:15" x14ac:dyDescent="0.25">
      <c r="A513" s="8" t="s">
        <v>112</v>
      </c>
      <c r="B513" s="1" t="s">
        <v>11</v>
      </c>
      <c r="C513" s="1">
        <v>2018</v>
      </c>
      <c r="D513" s="1">
        <v>2</v>
      </c>
      <c r="E513" s="1">
        <v>3</v>
      </c>
      <c r="F513" s="1">
        <v>2.5</v>
      </c>
      <c r="G513" s="1">
        <v>1</v>
      </c>
      <c r="H513" s="2">
        <v>0.80620000000000003</v>
      </c>
      <c r="I513" s="2">
        <v>1.0219158576051779</v>
      </c>
      <c r="J513" s="3">
        <v>23422</v>
      </c>
      <c r="K513">
        <v>5.6720313179643327</v>
      </c>
      <c r="L513">
        <v>3.1535450195737278</v>
      </c>
      <c r="M513">
        <v>4.8</v>
      </c>
    </row>
    <row r="514" spans="1:15" x14ac:dyDescent="0.25">
      <c r="A514" s="8" t="s">
        <v>113</v>
      </c>
      <c r="B514" s="1" t="s">
        <v>11</v>
      </c>
      <c r="C514" s="1">
        <v>2014</v>
      </c>
      <c r="D514" s="1">
        <v>2</v>
      </c>
      <c r="E514" s="1">
        <v>3</v>
      </c>
      <c r="F514" s="1">
        <v>2.5</v>
      </c>
      <c r="G514" s="1">
        <v>1</v>
      </c>
      <c r="J514" s="3">
        <v>20454</v>
      </c>
      <c r="K514">
        <v>2.2000000000000002</v>
      </c>
      <c r="L514">
        <v>5.3</v>
      </c>
      <c r="M514">
        <v>1.3</v>
      </c>
    </row>
    <row r="515" spans="1:15" x14ac:dyDescent="0.25">
      <c r="A515" s="8" t="s">
        <v>113</v>
      </c>
      <c r="B515" s="1" t="s">
        <v>11</v>
      </c>
      <c r="C515" s="1">
        <v>2015</v>
      </c>
      <c r="D515" s="1">
        <v>2</v>
      </c>
      <c r="E515" s="1">
        <v>3</v>
      </c>
      <c r="F515" s="1">
        <v>2.5</v>
      </c>
      <c r="G515" s="1">
        <v>1</v>
      </c>
      <c r="J515" s="3">
        <v>20473</v>
      </c>
      <c r="K515">
        <v>2.2000000000000002</v>
      </c>
      <c r="L515">
        <v>5.3</v>
      </c>
      <c r="M515">
        <v>1.4</v>
      </c>
    </row>
    <row r="516" spans="1:15" x14ac:dyDescent="0.25">
      <c r="A516" t="s">
        <v>113</v>
      </c>
      <c r="B516" s="1" t="s">
        <v>11</v>
      </c>
      <c r="C516" s="1">
        <v>2016</v>
      </c>
      <c r="D516" s="1">
        <v>2</v>
      </c>
      <c r="E516" s="1">
        <v>3</v>
      </c>
      <c r="F516" s="1">
        <v>2.5</v>
      </c>
      <c r="G516" s="1">
        <v>1</v>
      </c>
      <c r="J516" s="6">
        <v>20665</v>
      </c>
      <c r="K516" s="11">
        <v>2.2000000000000002</v>
      </c>
      <c r="L516" s="11">
        <v>5.3</v>
      </c>
      <c r="M516">
        <v>1.4</v>
      </c>
      <c r="O516" s="7"/>
    </row>
    <row r="517" spans="1:15" x14ac:dyDescent="0.25">
      <c r="A517" t="s">
        <v>113</v>
      </c>
      <c r="B517" s="1" t="s">
        <v>11</v>
      </c>
      <c r="C517" s="1">
        <v>2017</v>
      </c>
      <c r="D517" s="1">
        <v>2</v>
      </c>
      <c r="E517" s="1">
        <v>3</v>
      </c>
      <c r="F517" s="1">
        <v>2.5</v>
      </c>
      <c r="G517" s="1">
        <v>1</v>
      </c>
      <c r="H517" s="2">
        <f>11401/11762</f>
        <v>0.96930794082639005</v>
      </c>
      <c r="I517" s="2">
        <f>82057/80797</f>
        <v>1.0155946384147927</v>
      </c>
      <c r="J517" s="3">
        <v>20665</v>
      </c>
      <c r="K517">
        <v>2.2000000000000002</v>
      </c>
      <c r="L517">
        <v>5.3</v>
      </c>
      <c r="M517">
        <v>1.4</v>
      </c>
    </row>
    <row r="518" spans="1:15" x14ac:dyDescent="0.25">
      <c r="A518" s="8" t="s">
        <v>113</v>
      </c>
      <c r="B518" s="1" t="s">
        <v>11</v>
      </c>
      <c r="C518" s="1">
        <v>2018</v>
      </c>
      <c r="D518" s="1">
        <v>2</v>
      </c>
      <c r="E518" s="1">
        <v>3</v>
      </c>
      <c r="F518" s="1">
        <v>2.5</v>
      </c>
      <c r="G518" s="1">
        <v>1</v>
      </c>
      <c r="H518" s="2">
        <v>0.71239999999999992</v>
      </c>
      <c r="I518" s="2">
        <v>0.96458907887479317</v>
      </c>
      <c r="J518" s="3">
        <v>20733</v>
      </c>
      <c r="K518">
        <v>2.2000000000000002</v>
      </c>
      <c r="L518">
        <v>5.3</v>
      </c>
      <c r="M518">
        <v>1.4</v>
      </c>
    </row>
    <row r="519" spans="1:15" x14ac:dyDescent="0.25">
      <c r="A519" s="8" t="s">
        <v>114</v>
      </c>
      <c r="B519" s="1" t="s">
        <v>11</v>
      </c>
      <c r="C519" s="1">
        <v>2014</v>
      </c>
      <c r="D519" s="1">
        <v>2</v>
      </c>
      <c r="E519" s="1">
        <v>3</v>
      </c>
      <c r="F519" s="1">
        <v>2.5</v>
      </c>
      <c r="G519" s="1">
        <v>1</v>
      </c>
      <c r="J519" s="3">
        <v>14690</v>
      </c>
      <c r="K519">
        <v>4.4000000000000004</v>
      </c>
      <c r="L519">
        <v>3.5</v>
      </c>
      <c r="M519">
        <v>1.6</v>
      </c>
    </row>
    <row r="520" spans="1:15" x14ac:dyDescent="0.25">
      <c r="A520" s="8" t="s">
        <v>114</v>
      </c>
      <c r="B520" s="1" t="s">
        <v>11</v>
      </c>
      <c r="C520" s="1">
        <v>2015</v>
      </c>
      <c r="D520" s="1">
        <v>2</v>
      </c>
      <c r="E520" s="1">
        <v>3</v>
      </c>
      <c r="F520" s="1">
        <v>2.5</v>
      </c>
      <c r="G520" s="1">
        <v>1</v>
      </c>
      <c r="J520" s="3">
        <v>14640</v>
      </c>
      <c r="K520">
        <v>4.4000000000000004</v>
      </c>
      <c r="L520">
        <v>3.5</v>
      </c>
      <c r="M520">
        <v>1.6</v>
      </c>
    </row>
    <row r="521" spans="1:15" x14ac:dyDescent="0.25">
      <c r="A521" t="s">
        <v>114</v>
      </c>
      <c r="B521" s="1" t="s">
        <v>11</v>
      </c>
      <c r="C521" s="1">
        <v>2016</v>
      </c>
      <c r="D521" s="1">
        <v>2</v>
      </c>
      <c r="E521" s="1">
        <v>3</v>
      </c>
      <c r="F521" s="1">
        <v>2.5</v>
      </c>
      <c r="G521" s="1">
        <v>1</v>
      </c>
      <c r="J521" s="6">
        <v>14559</v>
      </c>
      <c r="K521" s="11">
        <v>4.4000000000000004</v>
      </c>
      <c r="L521" s="11">
        <v>3.5</v>
      </c>
      <c r="M521">
        <v>1.6</v>
      </c>
      <c r="O521" s="7"/>
    </row>
    <row r="522" spans="1:15" x14ac:dyDescent="0.25">
      <c r="A522" t="s">
        <v>114</v>
      </c>
      <c r="B522" s="1" t="s">
        <v>11</v>
      </c>
      <c r="C522" s="1">
        <v>2017</v>
      </c>
      <c r="D522" s="1">
        <v>2</v>
      </c>
      <c r="E522" s="1">
        <v>3</v>
      </c>
      <c r="F522" s="1">
        <v>2.5</v>
      </c>
      <c r="G522" s="1">
        <v>1</v>
      </c>
      <c r="H522" s="2">
        <f>3399/3352</f>
        <v>1.0140214797136038</v>
      </c>
      <c r="I522" s="2">
        <f>59473/57464</f>
        <v>1.0349610190728109</v>
      </c>
      <c r="J522" s="3">
        <v>14559</v>
      </c>
      <c r="K522">
        <v>4.4000000000000004</v>
      </c>
      <c r="L522">
        <v>3.5</v>
      </c>
      <c r="M522">
        <v>1.6</v>
      </c>
    </row>
    <row r="523" spans="1:15" x14ac:dyDescent="0.25">
      <c r="A523" s="8" t="s">
        <v>114</v>
      </c>
      <c r="B523" s="1" t="s">
        <v>11</v>
      </c>
      <c r="C523" s="1">
        <v>2018</v>
      </c>
      <c r="D523" s="1">
        <v>2</v>
      </c>
      <c r="E523" s="1">
        <v>3</v>
      </c>
      <c r="F523" s="1">
        <v>2.5</v>
      </c>
      <c r="G523" s="1">
        <v>1</v>
      </c>
      <c r="H523" s="2">
        <v>0.96230000000000004</v>
      </c>
      <c r="I523" s="2">
        <v>0.92637675269254216</v>
      </c>
      <c r="J523" s="3">
        <v>14532</v>
      </c>
      <c r="K523">
        <v>4.4000000000000004</v>
      </c>
      <c r="L523">
        <v>3.5</v>
      </c>
      <c r="M523">
        <v>1.6</v>
      </c>
    </row>
    <row r="524" spans="1:15" x14ac:dyDescent="0.25">
      <c r="A524" s="8" t="s">
        <v>115</v>
      </c>
      <c r="B524" s="1" t="s">
        <v>11</v>
      </c>
      <c r="C524" s="1">
        <v>2014</v>
      </c>
      <c r="D524" s="1">
        <v>1</v>
      </c>
      <c r="E524" s="1">
        <v>1</v>
      </c>
      <c r="F524" s="1">
        <v>1</v>
      </c>
      <c r="G524" s="1">
        <v>0</v>
      </c>
      <c r="H524" s="2">
        <v>1.4554794520547945</v>
      </c>
      <c r="I524" s="2">
        <v>1.0713471550475955</v>
      </c>
      <c r="J524" s="3">
        <v>40301</v>
      </c>
      <c r="K524">
        <v>0.28774836901247741</v>
      </c>
      <c r="L524">
        <v>64.148041574678132</v>
      </c>
      <c r="M524">
        <v>2878.5</v>
      </c>
    </row>
    <row r="525" spans="1:15" x14ac:dyDescent="0.25">
      <c r="A525" s="8" t="s">
        <v>115</v>
      </c>
      <c r="B525" s="1" t="s">
        <v>11</v>
      </c>
      <c r="C525" s="1">
        <v>2015</v>
      </c>
      <c r="D525" s="1">
        <v>1</v>
      </c>
      <c r="E525" s="1">
        <v>1</v>
      </c>
      <c r="F525" s="1">
        <v>1</v>
      </c>
      <c r="G525" s="1">
        <v>0</v>
      </c>
      <c r="H525" s="2">
        <v>0.40039999999999998</v>
      </c>
      <c r="I525" s="2">
        <v>1.3164029975020817</v>
      </c>
      <c r="J525" s="3">
        <v>41276</v>
      </c>
      <c r="K525">
        <v>0.28774836901247741</v>
      </c>
      <c r="L525">
        <v>64.148041574678132</v>
      </c>
      <c r="M525">
        <v>2948.1</v>
      </c>
    </row>
    <row r="526" spans="1:15" x14ac:dyDescent="0.25">
      <c r="A526" t="s">
        <v>115</v>
      </c>
      <c r="B526" s="1" t="s">
        <v>11</v>
      </c>
      <c r="C526" s="1">
        <v>2016</v>
      </c>
      <c r="D526" s="1">
        <v>1</v>
      </c>
      <c r="E526" s="1">
        <v>1</v>
      </c>
      <c r="F526" s="1">
        <v>1</v>
      </c>
      <c r="G526" s="1">
        <v>0</v>
      </c>
      <c r="H526" s="2">
        <v>1.1733</v>
      </c>
      <c r="I526" s="2">
        <v>1.2175279016187428</v>
      </c>
      <c r="J526" s="6">
        <v>40313</v>
      </c>
      <c r="K526" s="7">
        <v>0.28774836901247741</v>
      </c>
      <c r="L526" s="7">
        <v>64.148041574678132</v>
      </c>
      <c r="M526">
        <v>3029.4</v>
      </c>
      <c r="O526" s="7"/>
    </row>
    <row r="527" spans="1:15" x14ac:dyDescent="0.25">
      <c r="A527" t="s">
        <v>115</v>
      </c>
      <c r="B527" s="1" t="s">
        <v>11</v>
      </c>
      <c r="C527" s="1">
        <v>2017</v>
      </c>
      <c r="D527" s="1">
        <v>1</v>
      </c>
      <c r="E527" s="1">
        <v>1</v>
      </c>
      <c r="F527" s="1">
        <v>1</v>
      </c>
      <c r="G527" s="1">
        <v>0</v>
      </c>
      <c r="H527" s="2">
        <v>1.1525000000000001</v>
      </c>
      <c r="I527" s="2">
        <v>1.2586126764654622</v>
      </c>
      <c r="J527" s="3">
        <v>43852</v>
      </c>
      <c r="K527">
        <v>0.28774836901247741</v>
      </c>
      <c r="L527">
        <v>64.148041574678132</v>
      </c>
      <c r="M527">
        <v>3132.1</v>
      </c>
    </row>
    <row r="528" spans="1:15" x14ac:dyDescent="0.25">
      <c r="A528" s="8" t="s">
        <v>115</v>
      </c>
      <c r="B528" s="1" t="s">
        <v>11</v>
      </c>
      <c r="C528" s="1">
        <v>2018</v>
      </c>
      <c r="D528" s="1">
        <v>1</v>
      </c>
      <c r="E528" s="1">
        <v>1</v>
      </c>
      <c r="F528" s="1">
        <v>1</v>
      </c>
      <c r="G528" s="1">
        <v>0</v>
      </c>
      <c r="H528" s="2">
        <v>1.0293000000000001</v>
      </c>
      <c r="I528" s="2">
        <v>1.0802444426653857</v>
      </c>
      <c r="J528" s="3">
        <v>45143</v>
      </c>
      <c r="K528">
        <v>0.28774836901247741</v>
      </c>
      <c r="L528">
        <v>64.148041574678132</v>
      </c>
      <c r="M528">
        <v>3224.3</v>
      </c>
    </row>
    <row r="529" spans="1:15" x14ac:dyDescent="0.25">
      <c r="A529" s="8" t="s">
        <v>116</v>
      </c>
      <c r="B529" s="1" t="s">
        <v>11</v>
      </c>
      <c r="C529" s="1">
        <v>2014</v>
      </c>
      <c r="D529" s="1">
        <v>1</v>
      </c>
      <c r="E529" s="1">
        <v>2</v>
      </c>
      <c r="F529" s="1">
        <v>1.5</v>
      </c>
      <c r="G529" s="1">
        <v>1</v>
      </c>
      <c r="H529" s="2">
        <v>0.96625091709464417</v>
      </c>
      <c r="I529" s="2">
        <v>1.204285664694593</v>
      </c>
      <c r="J529" s="3">
        <v>223921</v>
      </c>
      <c r="K529">
        <v>1.1145950152198292</v>
      </c>
      <c r="L529">
        <v>13.009864280319503</v>
      </c>
      <c r="M529">
        <v>671.2</v>
      </c>
    </row>
    <row r="530" spans="1:15" x14ac:dyDescent="0.25">
      <c r="A530" s="8" t="s">
        <v>116</v>
      </c>
      <c r="B530" s="1" t="s">
        <v>11</v>
      </c>
      <c r="C530" s="1">
        <v>2015</v>
      </c>
      <c r="D530" s="1">
        <v>1</v>
      </c>
      <c r="E530" s="1">
        <v>2</v>
      </c>
      <c r="F530" s="1">
        <v>1.5</v>
      </c>
      <c r="G530" s="1">
        <v>1</v>
      </c>
      <c r="H530" s="2">
        <v>1.2017</v>
      </c>
      <c r="I530" s="2">
        <v>1.1124981002077106</v>
      </c>
      <c r="J530" s="3">
        <v>225218</v>
      </c>
      <c r="K530">
        <v>1.1145950152198292</v>
      </c>
      <c r="L530">
        <v>13.009864280319503</v>
      </c>
      <c r="M530">
        <v>675.1</v>
      </c>
    </row>
    <row r="531" spans="1:15" x14ac:dyDescent="0.25">
      <c r="A531" t="s">
        <v>116</v>
      </c>
      <c r="B531" s="1" t="s">
        <v>11</v>
      </c>
      <c r="C531" s="1">
        <v>2016</v>
      </c>
      <c r="D531" s="1">
        <v>1</v>
      </c>
      <c r="E531" s="1">
        <v>2</v>
      </c>
      <c r="F531" s="1">
        <v>1.5</v>
      </c>
      <c r="G531" s="1">
        <v>1</v>
      </c>
      <c r="H531" s="2">
        <v>0.93090000000000006</v>
      </c>
      <c r="I531" s="2">
        <v>1.1721966519070923</v>
      </c>
      <c r="J531" s="6">
        <v>218465</v>
      </c>
      <c r="K531" s="7">
        <v>1.1145950152198292</v>
      </c>
      <c r="L531" s="7">
        <v>13.009864280319503</v>
      </c>
      <c r="M531">
        <v>678.9</v>
      </c>
      <c r="O531" s="7"/>
    </row>
    <row r="532" spans="1:15" x14ac:dyDescent="0.25">
      <c r="A532" t="s">
        <v>116</v>
      </c>
      <c r="B532" s="1" t="s">
        <v>11</v>
      </c>
      <c r="C532" s="1">
        <v>2017</v>
      </c>
      <c r="D532" s="1">
        <v>1</v>
      </c>
      <c r="E532" s="1">
        <v>2</v>
      </c>
      <c r="F532" s="1">
        <v>1.5</v>
      </c>
      <c r="G532" s="1">
        <v>1</v>
      </c>
      <c r="H532" s="2">
        <v>1.0102</v>
      </c>
      <c r="I532" s="2">
        <v>1.3154997562164799</v>
      </c>
      <c r="J532" s="3">
        <v>227695</v>
      </c>
      <c r="K532">
        <v>1.1145950152198292</v>
      </c>
      <c r="L532">
        <v>13.009864280319503</v>
      </c>
      <c r="M532">
        <v>682.6</v>
      </c>
    </row>
    <row r="533" spans="1:15" x14ac:dyDescent="0.25">
      <c r="A533" s="8" t="s">
        <v>116</v>
      </c>
      <c r="B533" s="1" t="s">
        <v>11</v>
      </c>
      <c r="C533" s="1">
        <v>2018</v>
      </c>
      <c r="D533" s="1">
        <v>1</v>
      </c>
      <c r="E533" s="1">
        <v>2</v>
      </c>
      <c r="F533" s="1">
        <v>1.5</v>
      </c>
      <c r="G533" s="1">
        <v>1</v>
      </c>
      <c r="H533" s="2">
        <v>0.90709999999999991</v>
      </c>
      <c r="I533" s="2">
        <v>1.0334004630581015</v>
      </c>
      <c r="J533" s="3">
        <v>229213</v>
      </c>
      <c r="K533">
        <v>1.1145950152198292</v>
      </c>
      <c r="L533">
        <v>13.009864280319503</v>
      </c>
      <c r="M533">
        <v>687.1</v>
      </c>
    </row>
    <row r="534" spans="1:15" x14ac:dyDescent="0.25">
      <c r="A534" s="8" t="s">
        <v>117</v>
      </c>
      <c r="B534" s="1" t="s">
        <v>11</v>
      </c>
      <c r="C534" s="1">
        <v>2014</v>
      </c>
      <c r="D534" s="1">
        <v>1</v>
      </c>
      <c r="E534" s="1">
        <v>1</v>
      </c>
      <c r="F534" s="1">
        <v>1</v>
      </c>
      <c r="G534" s="1">
        <v>0</v>
      </c>
      <c r="H534" s="2">
        <v>1.0484111923123511</v>
      </c>
      <c r="I534" s="2">
        <v>1.1931994414573808</v>
      </c>
      <c r="J534" s="3">
        <v>204516</v>
      </c>
      <c r="K534">
        <v>1.2</v>
      </c>
      <c r="L534">
        <v>36.200000000000003</v>
      </c>
      <c r="M534">
        <v>7647.5</v>
      </c>
    </row>
    <row r="535" spans="1:15" x14ac:dyDescent="0.25">
      <c r="A535" s="8" t="s">
        <v>117</v>
      </c>
      <c r="B535" s="1" t="s">
        <v>11</v>
      </c>
      <c r="C535" s="1">
        <v>2015</v>
      </c>
      <c r="D535" s="1">
        <v>1</v>
      </c>
      <c r="E535" s="1">
        <v>1</v>
      </c>
      <c r="F535" s="1">
        <v>1</v>
      </c>
      <c r="G535" s="1">
        <v>0</v>
      </c>
      <c r="H535" s="2">
        <v>1.0407</v>
      </c>
      <c r="I535" s="2">
        <v>1.4009459488236193</v>
      </c>
      <c r="J535" s="3">
        <v>214037</v>
      </c>
      <c r="K535">
        <v>1.2</v>
      </c>
      <c r="L535">
        <v>36.200000000000003</v>
      </c>
      <c r="M535">
        <v>8003.5</v>
      </c>
    </row>
    <row r="536" spans="1:15" x14ac:dyDescent="0.25">
      <c r="A536" t="s">
        <v>117</v>
      </c>
      <c r="B536" s="1" t="s">
        <v>11</v>
      </c>
      <c r="C536" s="1">
        <v>2016</v>
      </c>
      <c r="D536" s="1">
        <v>1</v>
      </c>
      <c r="E536" s="1">
        <v>1</v>
      </c>
      <c r="F536" s="1">
        <v>1</v>
      </c>
      <c r="G536" s="1">
        <v>0</v>
      </c>
      <c r="H536" s="5">
        <v>1.0173000000000001</v>
      </c>
      <c r="I536" s="2">
        <v>1.197603377772863</v>
      </c>
      <c r="J536" s="6">
        <v>233177</v>
      </c>
      <c r="K536" s="11">
        <v>1.2</v>
      </c>
      <c r="L536" s="11">
        <v>36.200000000000003</v>
      </c>
      <c r="M536">
        <v>8719.2000000000007</v>
      </c>
      <c r="O536" s="7"/>
    </row>
    <row r="537" spans="1:15" x14ac:dyDescent="0.25">
      <c r="A537" t="s">
        <v>117</v>
      </c>
      <c r="B537" s="1" t="s">
        <v>11</v>
      </c>
      <c r="C537" s="1">
        <v>2017</v>
      </c>
      <c r="D537" s="1">
        <v>1</v>
      </c>
      <c r="E537" s="1">
        <v>1</v>
      </c>
      <c r="F537" s="1">
        <v>1</v>
      </c>
      <c r="G537" s="1">
        <v>0</v>
      </c>
      <c r="H537" s="2">
        <v>1.0014000000000001</v>
      </c>
      <c r="I537" s="2">
        <v>1.249177190438451</v>
      </c>
      <c r="J537" s="3">
        <v>233177</v>
      </c>
      <c r="K537">
        <v>1.2</v>
      </c>
      <c r="L537">
        <v>36.200000000000003</v>
      </c>
      <c r="M537">
        <v>8719.2000000000007</v>
      </c>
    </row>
    <row r="538" spans="1:15" x14ac:dyDescent="0.25">
      <c r="A538" s="8" t="s">
        <v>117</v>
      </c>
      <c r="B538" s="1" t="s">
        <v>11</v>
      </c>
      <c r="C538" s="1">
        <v>2018</v>
      </c>
      <c r="D538" s="1">
        <v>1</v>
      </c>
      <c r="E538" s="1">
        <v>1</v>
      </c>
      <c r="F538" s="1">
        <v>1</v>
      </c>
      <c r="G538" s="1">
        <v>0</v>
      </c>
      <c r="H538" s="2">
        <v>0.98260000000000003</v>
      </c>
      <c r="I538" s="2">
        <v>1.0593273348373549</v>
      </c>
      <c r="J538" s="3">
        <v>240229</v>
      </c>
      <c r="K538">
        <v>1.2</v>
      </c>
      <c r="L538">
        <v>36.200000000000003</v>
      </c>
      <c r="M538">
        <v>8982.9</v>
      </c>
    </row>
    <row r="539" spans="1:15" x14ac:dyDescent="0.25">
      <c r="A539" s="8" t="s">
        <v>118</v>
      </c>
      <c r="B539" s="1" t="s">
        <v>11</v>
      </c>
      <c r="C539" s="1">
        <v>2014</v>
      </c>
      <c r="D539" s="1">
        <v>2</v>
      </c>
      <c r="E539" s="1">
        <v>3</v>
      </c>
      <c r="F539" s="1">
        <v>2.5</v>
      </c>
      <c r="G539" s="1">
        <v>1</v>
      </c>
      <c r="H539" s="2">
        <v>1.0069498069498068</v>
      </c>
      <c r="I539" s="2">
        <v>1.1929667722179984</v>
      </c>
      <c r="J539" s="3">
        <v>59872</v>
      </c>
      <c r="K539">
        <v>10.113640172974423</v>
      </c>
      <c r="L539">
        <v>3.7444269384197648</v>
      </c>
      <c r="M539">
        <v>6.1</v>
      </c>
    </row>
    <row r="540" spans="1:15" x14ac:dyDescent="0.25">
      <c r="A540" s="8" t="s">
        <v>118</v>
      </c>
      <c r="B540" s="1" t="s">
        <v>11</v>
      </c>
      <c r="C540" s="1">
        <v>2015</v>
      </c>
      <c r="D540" s="1">
        <v>2</v>
      </c>
      <c r="E540" s="1">
        <v>3</v>
      </c>
      <c r="F540" s="1">
        <v>2.5</v>
      </c>
      <c r="G540" s="1">
        <v>1</v>
      </c>
      <c r="H540" s="2">
        <v>0.94269999999999998</v>
      </c>
      <c r="I540" s="2">
        <v>0.88415769836564317</v>
      </c>
      <c r="J540" s="3">
        <v>60432</v>
      </c>
      <c r="K540">
        <v>10.113640172974423</v>
      </c>
      <c r="L540">
        <v>3.7444269384197648</v>
      </c>
      <c r="M540">
        <v>6.1</v>
      </c>
    </row>
    <row r="541" spans="1:15" x14ac:dyDescent="0.25">
      <c r="A541" t="s">
        <v>118</v>
      </c>
      <c r="B541" s="1" t="s">
        <v>11</v>
      </c>
      <c r="C541" s="1">
        <v>2016</v>
      </c>
      <c r="D541" s="1">
        <v>2</v>
      </c>
      <c r="E541" s="1">
        <v>3</v>
      </c>
      <c r="F541" s="1">
        <v>2.5</v>
      </c>
      <c r="G541" s="1">
        <v>1</v>
      </c>
      <c r="H541" s="2">
        <v>1.0002</v>
      </c>
      <c r="I541" s="2">
        <v>1.2423965767725442</v>
      </c>
      <c r="J541" s="6">
        <v>59662</v>
      </c>
      <c r="K541" s="7">
        <v>10.113640172974423</v>
      </c>
      <c r="L541" s="7">
        <v>3.7444269384197648</v>
      </c>
      <c r="M541">
        <v>6.2</v>
      </c>
      <c r="O541" s="7"/>
    </row>
    <row r="542" spans="1:15" x14ac:dyDescent="0.25">
      <c r="A542" t="s">
        <v>118</v>
      </c>
      <c r="B542" s="1" t="s">
        <v>11</v>
      </c>
      <c r="C542" s="1">
        <v>2017</v>
      </c>
      <c r="D542" s="1">
        <v>2</v>
      </c>
      <c r="E542" s="1">
        <v>3</v>
      </c>
      <c r="F542" s="1">
        <v>2.5</v>
      </c>
      <c r="G542" s="1">
        <v>1</v>
      </c>
      <c r="H542" s="5">
        <v>0.97349999999999992</v>
      </c>
      <c r="I542" s="2">
        <v>1.3134381559665729</v>
      </c>
      <c r="J542" s="3">
        <v>61615</v>
      </c>
      <c r="K542">
        <v>10.113640172974423</v>
      </c>
      <c r="L542">
        <v>3.7444269384197648</v>
      </c>
      <c r="M542">
        <v>6.2</v>
      </c>
    </row>
    <row r="543" spans="1:15" x14ac:dyDescent="0.25">
      <c r="A543" s="8" t="s">
        <v>118</v>
      </c>
      <c r="B543" s="1" t="s">
        <v>11</v>
      </c>
      <c r="C543" s="1">
        <v>2018</v>
      </c>
      <c r="D543" s="1">
        <v>2</v>
      </c>
      <c r="E543" s="1">
        <v>3</v>
      </c>
      <c r="F543" s="1">
        <v>2.5</v>
      </c>
      <c r="G543" s="1">
        <v>1</v>
      </c>
      <c r="H543" s="2">
        <v>0.91909999999999992</v>
      </c>
      <c r="I543" s="2">
        <v>1.0595887342221948</v>
      </c>
      <c r="J543" s="3">
        <v>62156</v>
      </c>
      <c r="K543">
        <v>10.113640172974423</v>
      </c>
      <c r="L543">
        <v>3.7444269384197648</v>
      </c>
      <c r="M543">
        <v>6.3</v>
      </c>
    </row>
    <row r="544" spans="1:15" x14ac:dyDescent="0.25">
      <c r="A544" s="8" t="s">
        <v>119</v>
      </c>
      <c r="B544" s="1" t="s">
        <v>11</v>
      </c>
      <c r="C544" s="1">
        <v>2014</v>
      </c>
      <c r="D544" s="1">
        <v>3</v>
      </c>
      <c r="E544" s="1">
        <v>3</v>
      </c>
      <c r="F544" s="1">
        <v>3</v>
      </c>
      <c r="G544" s="1">
        <v>0</v>
      </c>
      <c r="H544" s="2">
        <v>0.9986528497409326</v>
      </c>
      <c r="I544" s="2">
        <v>1.0285094328250257</v>
      </c>
      <c r="J544" s="3">
        <v>6098</v>
      </c>
      <c r="K544">
        <v>2.3731587561374794</v>
      </c>
      <c r="L544">
        <v>2.2913256955810146</v>
      </c>
      <c r="M544">
        <v>2.2000000000000002</v>
      </c>
    </row>
    <row r="545" spans="1:15" x14ac:dyDescent="0.25">
      <c r="A545" s="8" t="s">
        <v>119</v>
      </c>
      <c r="B545" s="1" t="s">
        <v>11</v>
      </c>
      <c r="C545" s="1">
        <v>2015</v>
      </c>
      <c r="D545" s="1">
        <v>3</v>
      </c>
      <c r="E545" s="1">
        <v>3</v>
      </c>
      <c r="F545" s="1">
        <v>3</v>
      </c>
      <c r="G545" s="1">
        <v>0</v>
      </c>
      <c r="H545" s="2">
        <v>1.0732999999999999</v>
      </c>
      <c r="I545" s="2">
        <v>1.0510372915871198</v>
      </c>
      <c r="J545" s="3">
        <v>6165</v>
      </c>
      <c r="K545">
        <v>2.3731587561374794</v>
      </c>
      <c r="L545">
        <v>2.2913256955810146</v>
      </c>
      <c r="M545">
        <v>2.2000000000000002</v>
      </c>
    </row>
    <row r="546" spans="1:15" x14ac:dyDescent="0.25">
      <c r="A546" t="s">
        <v>119</v>
      </c>
      <c r="B546" s="1" t="s">
        <v>11</v>
      </c>
      <c r="C546" s="1">
        <v>2016</v>
      </c>
      <c r="D546" s="1">
        <v>3</v>
      </c>
      <c r="E546" s="1">
        <v>3</v>
      </c>
      <c r="F546" s="1">
        <v>3</v>
      </c>
      <c r="G546" s="1">
        <v>0</v>
      </c>
      <c r="H546" s="2">
        <v>1.1092</v>
      </c>
      <c r="I546" s="2">
        <v>1.1077604514289181</v>
      </c>
      <c r="J546" s="6">
        <v>6110</v>
      </c>
      <c r="K546" s="7">
        <v>2.3731587561374794</v>
      </c>
      <c r="L546" s="7">
        <v>2.2913256955810146</v>
      </c>
      <c r="M546">
        <v>2.2000000000000002</v>
      </c>
      <c r="O546" s="7"/>
    </row>
    <row r="547" spans="1:15" x14ac:dyDescent="0.25">
      <c r="A547" t="s">
        <v>119</v>
      </c>
      <c r="B547" s="1" t="s">
        <v>11</v>
      </c>
      <c r="C547" s="1">
        <v>2017</v>
      </c>
      <c r="D547" s="1">
        <v>3</v>
      </c>
      <c r="E547" s="1">
        <v>3</v>
      </c>
      <c r="F547" s="1">
        <v>3</v>
      </c>
      <c r="G547" s="1">
        <v>0</v>
      </c>
      <c r="H547" s="5">
        <v>1.1625000000000001</v>
      </c>
      <c r="I547" s="2">
        <v>1.3056004458066315</v>
      </c>
      <c r="J547" s="3">
        <v>6239</v>
      </c>
      <c r="K547">
        <v>2.3731587561374794</v>
      </c>
      <c r="L547">
        <v>2.2913256955810146</v>
      </c>
      <c r="M547">
        <v>2.2000000000000002</v>
      </c>
    </row>
    <row r="548" spans="1:15" x14ac:dyDescent="0.25">
      <c r="A548" s="8" t="s">
        <v>119</v>
      </c>
      <c r="B548" s="1" t="s">
        <v>11</v>
      </c>
      <c r="C548" s="1">
        <v>2018</v>
      </c>
      <c r="D548" s="1">
        <v>3</v>
      </c>
      <c r="E548" s="1">
        <v>3</v>
      </c>
      <c r="F548" s="1">
        <v>3</v>
      </c>
      <c r="G548" s="1">
        <v>0</v>
      </c>
      <c r="H548" s="2">
        <v>1.1508</v>
      </c>
      <c r="I548" s="2">
        <v>1.0834934239692626</v>
      </c>
      <c r="J548" s="3">
        <v>6274</v>
      </c>
      <c r="K548">
        <v>2.3731587561374794</v>
      </c>
      <c r="L548">
        <v>2.2913256955810146</v>
      </c>
      <c r="M548">
        <v>2.2000000000000002</v>
      </c>
    </row>
    <row r="549" spans="1:15" x14ac:dyDescent="0.25">
      <c r="A549" s="8" t="s">
        <v>120</v>
      </c>
      <c r="B549" s="1" t="s">
        <v>11</v>
      </c>
      <c r="C549" s="1">
        <v>2014</v>
      </c>
      <c r="D549" s="1">
        <v>3</v>
      </c>
      <c r="E549" s="1">
        <v>3</v>
      </c>
      <c r="F549" s="1">
        <v>3</v>
      </c>
      <c r="G549" s="1">
        <v>0</v>
      </c>
      <c r="H549" s="2">
        <v>1.209549795361528</v>
      </c>
      <c r="I549" s="2">
        <v>0.92755032021957917</v>
      </c>
      <c r="J549" s="3">
        <v>6769</v>
      </c>
      <c r="K549">
        <v>5.9178743961352653</v>
      </c>
      <c r="L549">
        <v>2.5664251207729469</v>
      </c>
      <c r="M549">
        <v>0.9</v>
      </c>
    </row>
    <row r="550" spans="1:15" x14ac:dyDescent="0.25">
      <c r="A550" s="8" t="s">
        <v>120</v>
      </c>
      <c r="B550" s="1" t="s">
        <v>11</v>
      </c>
      <c r="C550" s="1">
        <v>2015</v>
      </c>
      <c r="D550" s="1">
        <v>3</v>
      </c>
      <c r="E550" s="1">
        <v>3</v>
      </c>
      <c r="F550" s="1">
        <v>3</v>
      </c>
      <c r="G550" s="1">
        <v>0</v>
      </c>
      <c r="H550" s="2">
        <v>1.0591999999999999</v>
      </c>
      <c r="I550" s="2">
        <v>1.2448180284405881</v>
      </c>
      <c r="J550" s="3">
        <v>6713</v>
      </c>
      <c r="K550">
        <v>5.9178743961352653</v>
      </c>
      <c r="L550">
        <v>2.5664251207729469</v>
      </c>
      <c r="M550">
        <v>0.9</v>
      </c>
    </row>
    <row r="551" spans="1:15" x14ac:dyDescent="0.25">
      <c r="A551" t="s">
        <v>120</v>
      </c>
      <c r="B551" s="1" t="s">
        <v>11</v>
      </c>
      <c r="C551" s="1">
        <v>2016</v>
      </c>
      <c r="D551" s="1">
        <v>3</v>
      </c>
      <c r="E551" s="1">
        <v>3</v>
      </c>
      <c r="F551" s="1">
        <v>3</v>
      </c>
      <c r="G551" s="1">
        <v>0</v>
      </c>
      <c r="H551" s="2">
        <v>1.0822000000000001</v>
      </c>
      <c r="I551" s="2">
        <v>1.1924942136007937</v>
      </c>
      <c r="J551" s="6">
        <v>6624</v>
      </c>
      <c r="K551" s="7">
        <v>5.9178743961352653</v>
      </c>
      <c r="L551" s="7">
        <v>2.5664251207729469</v>
      </c>
      <c r="M551">
        <v>0.9</v>
      </c>
      <c r="O551" s="7"/>
    </row>
    <row r="552" spans="1:15" x14ac:dyDescent="0.25">
      <c r="A552" t="s">
        <v>120</v>
      </c>
      <c r="B552" s="1" t="s">
        <v>11</v>
      </c>
      <c r="C552" s="1">
        <v>2017</v>
      </c>
      <c r="D552" s="1">
        <v>3</v>
      </c>
      <c r="E552" s="1">
        <v>3</v>
      </c>
      <c r="F552" s="1">
        <v>3</v>
      </c>
      <c r="G552" s="1">
        <v>0</v>
      </c>
      <c r="H552" s="5">
        <v>1.0125</v>
      </c>
      <c r="I552" s="2">
        <v>1.4023100699528226</v>
      </c>
      <c r="J552" s="3">
        <v>6660</v>
      </c>
      <c r="K552">
        <v>5.9178743961352653</v>
      </c>
      <c r="L552">
        <v>2.5664251207729469</v>
      </c>
      <c r="M552">
        <v>0.9</v>
      </c>
    </row>
    <row r="553" spans="1:15" x14ac:dyDescent="0.25">
      <c r="A553" s="8" t="s">
        <v>120</v>
      </c>
      <c r="B553" s="1" t="s">
        <v>11</v>
      </c>
      <c r="C553" s="1">
        <v>2018</v>
      </c>
      <c r="D553" s="1">
        <v>3</v>
      </c>
      <c r="E553" s="1">
        <v>3</v>
      </c>
      <c r="F553" s="1">
        <v>3</v>
      </c>
      <c r="G553" s="1">
        <v>0</v>
      </c>
      <c r="H553" s="2">
        <v>1</v>
      </c>
      <c r="I553" s="2">
        <v>1.1468700683850606</v>
      </c>
      <c r="J553" s="3">
        <v>6638</v>
      </c>
      <c r="K553">
        <v>5.9178743961352653</v>
      </c>
      <c r="L553">
        <v>2.5664251207729469</v>
      </c>
      <c r="M553">
        <v>0.9</v>
      </c>
    </row>
    <row r="554" spans="1:15" x14ac:dyDescent="0.25">
      <c r="A554" s="8" t="s">
        <v>121</v>
      </c>
      <c r="B554" s="1" t="s">
        <v>11</v>
      </c>
      <c r="C554" s="1">
        <v>2014</v>
      </c>
      <c r="D554" s="1">
        <v>1</v>
      </c>
      <c r="E554" s="1">
        <v>2</v>
      </c>
      <c r="F554" s="1">
        <v>1.5</v>
      </c>
      <c r="G554" s="1">
        <v>1</v>
      </c>
      <c r="H554" s="2">
        <v>1.22480351671773</v>
      </c>
      <c r="I554" s="2">
        <v>1.1342887591305699</v>
      </c>
      <c r="J554" s="3">
        <v>91139</v>
      </c>
      <c r="K554">
        <v>3.962834066583492</v>
      </c>
      <c r="L554">
        <v>4.203602775406571</v>
      </c>
      <c r="M554">
        <v>69.7</v>
      </c>
    </row>
    <row r="555" spans="1:15" x14ac:dyDescent="0.25">
      <c r="A555" s="8" t="s">
        <v>121</v>
      </c>
      <c r="B555" s="1" t="s">
        <v>11</v>
      </c>
      <c r="C555" s="1">
        <v>2015</v>
      </c>
      <c r="D555" s="1">
        <v>1</v>
      </c>
      <c r="E555" s="1">
        <v>2</v>
      </c>
      <c r="F555" s="1">
        <v>1.5</v>
      </c>
      <c r="G555" s="1">
        <v>1</v>
      </c>
      <c r="H555" s="2">
        <v>0.92409999999999992</v>
      </c>
      <c r="I555" s="2">
        <v>1.2479293721321949</v>
      </c>
      <c r="J555" s="3">
        <v>92261</v>
      </c>
      <c r="K555">
        <v>3.962834066583492</v>
      </c>
      <c r="L555">
        <v>4.203602775406571</v>
      </c>
      <c r="M555">
        <v>70.599999999999994</v>
      </c>
    </row>
    <row r="556" spans="1:15" x14ac:dyDescent="0.25">
      <c r="A556" t="s">
        <v>121</v>
      </c>
      <c r="B556" s="1" t="s">
        <v>11</v>
      </c>
      <c r="C556" s="1">
        <v>2016</v>
      </c>
      <c r="D556" s="1">
        <v>1</v>
      </c>
      <c r="E556" s="1">
        <v>2</v>
      </c>
      <c r="F556" s="1">
        <v>1.5</v>
      </c>
      <c r="G556" s="1">
        <v>1</v>
      </c>
      <c r="H556" s="2">
        <v>1.115</v>
      </c>
      <c r="I556" s="2">
        <v>1.1834424520677902</v>
      </c>
      <c r="J556" s="6">
        <v>91374</v>
      </c>
      <c r="K556" s="7">
        <v>3.962834066583492</v>
      </c>
      <c r="L556" s="7">
        <v>4.203602775406571</v>
      </c>
      <c r="M556">
        <v>71.7</v>
      </c>
      <c r="O556" s="7"/>
    </row>
    <row r="557" spans="1:15" x14ac:dyDescent="0.25">
      <c r="A557" t="s">
        <v>121</v>
      </c>
      <c r="B557" s="1" t="s">
        <v>11</v>
      </c>
      <c r="C557" s="1">
        <v>2017</v>
      </c>
      <c r="D557" s="1">
        <v>1</v>
      </c>
      <c r="E557" s="1">
        <v>2</v>
      </c>
      <c r="F557" s="1">
        <v>1.5</v>
      </c>
      <c r="G557" s="1">
        <v>1</v>
      </c>
      <c r="H557" s="5">
        <v>0.92909999999999993</v>
      </c>
      <c r="I557" s="2">
        <v>1.2327346956270158</v>
      </c>
      <c r="J557" s="3">
        <v>94909</v>
      </c>
      <c r="K557">
        <v>3.962834066583492</v>
      </c>
      <c r="L557">
        <v>4.203602775406571</v>
      </c>
      <c r="M557">
        <v>72.599999999999994</v>
      </c>
    </row>
    <row r="558" spans="1:15" x14ac:dyDescent="0.25">
      <c r="A558" s="8" t="s">
        <v>121</v>
      </c>
      <c r="B558" s="1" t="s">
        <v>11</v>
      </c>
      <c r="C558" s="1">
        <v>2018</v>
      </c>
      <c r="D558" s="1">
        <v>1</v>
      </c>
      <c r="E558" s="1">
        <v>2</v>
      </c>
      <c r="F558" s="1">
        <v>1.5</v>
      </c>
      <c r="G558" s="1">
        <v>1</v>
      </c>
      <c r="H558" s="2">
        <v>0.99290000000000012</v>
      </c>
      <c r="I558" s="2">
        <v>1.1266829422919713</v>
      </c>
      <c r="J558" s="3">
        <v>96108</v>
      </c>
      <c r="K558">
        <v>3.962834066583492</v>
      </c>
      <c r="L558">
        <v>4.203602775406571</v>
      </c>
      <c r="M558">
        <v>73.5</v>
      </c>
    </row>
    <row r="559" spans="1:15" x14ac:dyDescent="0.25">
      <c r="A559" s="8" t="s">
        <v>122</v>
      </c>
      <c r="B559" s="1" t="s">
        <v>11</v>
      </c>
      <c r="C559" s="1">
        <v>2014</v>
      </c>
      <c r="D559" s="1">
        <v>2</v>
      </c>
      <c r="E559" s="1">
        <v>3</v>
      </c>
      <c r="F559" s="1">
        <v>2.5</v>
      </c>
      <c r="G559" s="1">
        <v>1</v>
      </c>
      <c r="H559" s="2">
        <v>0.83319107425923666</v>
      </c>
      <c r="I559" s="2">
        <v>0.96381006775876843</v>
      </c>
      <c r="J559" s="3">
        <v>14508</v>
      </c>
      <c r="K559">
        <v>5.0878684807256231</v>
      </c>
      <c r="L559">
        <v>2.8911564625850339</v>
      </c>
      <c r="M559">
        <v>1.8</v>
      </c>
    </row>
    <row r="560" spans="1:15" x14ac:dyDescent="0.25">
      <c r="A560" s="8" t="s">
        <v>122</v>
      </c>
      <c r="B560" s="1" t="s">
        <v>11</v>
      </c>
      <c r="C560" s="1">
        <v>2015</v>
      </c>
      <c r="D560" s="1">
        <v>2</v>
      </c>
      <c r="E560" s="1">
        <v>3</v>
      </c>
      <c r="F560" s="1">
        <v>2.5</v>
      </c>
      <c r="G560" s="1">
        <v>1</v>
      </c>
      <c r="H560" s="2">
        <v>1.0036</v>
      </c>
      <c r="I560" s="2">
        <v>1.0966724193722359</v>
      </c>
      <c r="J560" s="3">
        <v>14412</v>
      </c>
      <c r="K560">
        <v>5.0878684807256231</v>
      </c>
      <c r="L560">
        <v>2.8911564625850339</v>
      </c>
      <c r="M560">
        <v>1.8</v>
      </c>
    </row>
    <row r="561" spans="1:15" x14ac:dyDescent="0.25">
      <c r="A561" t="s">
        <v>122</v>
      </c>
      <c r="B561" s="1" t="s">
        <v>11</v>
      </c>
      <c r="C561" s="1">
        <v>2016</v>
      </c>
      <c r="D561" s="1">
        <v>2</v>
      </c>
      <c r="E561" s="1">
        <v>3</v>
      </c>
      <c r="F561" s="1">
        <v>2.5</v>
      </c>
      <c r="G561" s="1">
        <v>1</v>
      </c>
      <c r="H561" s="2">
        <v>1.0076000000000001</v>
      </c>
      <c r="I561" s="2">
        <v>1.1107570567460634</v>
      </c>
      <c r="J561" s="6">
        <v>14112</v>
      </c>
      <c r="K561" s="7">
        <v>5.0878684807256231</v>
      </c>
      <c r="L561" s="7">
        <v>2.8911564625850339</v>
      </c>
      <c r="M561">
        <v>1.8</v>
      </c>
      <c r="O561" s="7"/>
    </row>
    <row r="562" spans="1:15" x14ac:dyDescent="0.25">
      <c r="A562" t="s">
        <v>122</v>
      </c>
      <c r="B562" s="1" t="s">
        <v>11</v>
      </c>
      <c r="C562" s="1">
        <v>2017</v>
      </c>
      <c r="D562" s="1">
        <v>2</v>
      </c>
      <c r="E562" s="1">
        <v>3</v>
      </c>
      <c r="F562" s="1">
        <v>2.5</v>
      </c>
      <c r="G562" s="1">
        <v>1</v>
      </c>
      <c r="H562" s="5">
        <v>0.97060000000000002</v>
      </c>
      <c r="I562" s="2">
        <v>1.1621773288439956</v>
      </c>
      <c r="J562" s="3">
        <v>14274</v>
      </c>
      <c r="K562">
        <v>5.0878684807256231</v>
      </c>
      <c r="L562">
        <v>2.8911564625850339</v>
      </c>
      <c r="M562">
        <v>1.8</v>
      </c>
    </row>
    <row r="563" spans="1:15" x14ac:dyDescent="0.25">
      <c r="A563" s="8" t="s">
        <v>122</v>
      </c>
      <c r="B563" s="1" t="s">
        <v>11</v>
      </c>
      <c r="C563" s="1">
        <v>2018</v>
      </c>
      <c r="D563" s="1">
        <v>2</v>
      </c>
      <c r="E563" s="1">
        <v>3</v>
      </c>
      <c r="F563" s="1">
        <v>2.5</v>
      </c>
      <c r="G563" s="1">
        <v>1</v>
      </c>
      <c r="H563" s="2">
        <v>0.96989999999999998</v>
      </c>
      <c r="I563" s="2">
        <v>1.2005390970125041</v>
      </c>
      <c r="J563" s="3">
        <v>14220</v>
      </c>
      <c r="K563">
        <v>5.0878684807256231</v>
      </c>
      <c r="L563">
        <v>2.8911564625850339</v>
      </c>
      <c r="M563">
        <v>1.8</v>
      </c>
    </row>
    <row r="564" spans="1:15" x14ac:dyDescent="0.25">
      <c r="A564" s="8" t="s">
        <v>123</v>
      </c>
      <c r="B564" s="1" t="s">
        <v>11</v>
      </c>
      <c r="C564" s="1">
        <v>2014</v>
      </c>
      <c r="D564" s="1">
        <v>2</v>
      </c>
      <c r="E564" s="1">
        <v>3</v>
      </c>
      <c r="F564" s="1">
        <v>2.5</v>
      </c>
      <c r="G564" s="1">
        <v>1</v>
      </c>
      <c r="H564" s="2">
        <v>1.1115733736762481</v>
      </c>
      <c r="I564" s="2">
        <v>1.3990464526288164</v>
      </c>
      <c r="J564" s="3">
        <v>7722</v>
      </c>
      <c r="K564">
        <v>2.3524824538601505</v>
      </c>
      <c r="L564">
        <v>1.5336625942292694</v>
      </c>
      <c r="M564">
        <v>1.1000000000000001</v>
      </c>
    </row>
    <row r="565" spans="1:15" x14ac:dyDescent="0.25">
      <c r="A565" s="8" t="s">
        <v>123</v>
      </c>
      <c r="B565" s="1" t="s">
        <v>11</v>
      </c>
      <c r="C565" s="1">
        <v>2015</v>
      </c>
      <c r="D565" s="1">
        <v>2</v>
      </c>
      <c r="E565" s="1">
        <v>3</v>
      </c>
      <c r="F565" s="1">
        <v>2.5</v>
      </c>
      <c r="G565" s="1">
        <v>1</v>
      </c>
      <c r="H565" s="2">
        <v>1.0615000000000001</v>
      </c>
      <c r="I565" s="2">
        <v>1.1173911258876166</v>
      </c>
      <c r="J565" s="3">
        <v>7804</v>
      </c>
      <c r="K565">
        <v>2.3524824538601505</v>
      </c>
      <c r="L565">
        <v>1.5336625942292694</v>
      </c>
      <c r="M565">
        <v>1.1000000000000001</v>
      </c>
    </row>
    <row r="566" spans="1:15" x14ac:dyDescent="0.25">
      <c r="A566" t="s">
        <v>123</v>
      </c>
      <c r="B566" s="1" t="s">
        <v>11</v>
      </c>
      <c r="C566" s="1">
        <v>2016</v>
      </c>
      <c r="D566" s="1">
        <v>2</v>
      </c>
      <c r="E566" s="1">
        <v>3</v>
      </c>
      <c r="F566" s="1">
        <v>2.5</v>
      </c>
      <c r="G566" s="1">
        <v>1</v>
      </c>
      <c r="H566" s="2">
        <v>1.0603</v>
      </c>
      <c r="I566" s="2">
        <v>1.2248162559446607</v>
      </c>
      <c r="J566" s="6">
        <v>7694</v>
      </c>
      <c r="K566" s="7">
        <v>2.3524824538601505</v>
      </c>
      <c r="L566" s="7">
        <v>1.5336625942292694</v>
      </c>
      <c r="M566">
        <v>1.1000000000000001</v>
      </c>
      <c r="O566" s="7"/>
    </row>
    <row r="567" spans="1:15" x14ac:dyDescent="0.25">
      <c r="A567" t="s">
        <v>123</v>
      </c>
      <c r="B567" s="1" t="s">
        <v>11</v>
      </c>
      <c r="C567" s="1">
        <v>2017</v>
      </c>
      <c r="D567" s="1">
        <v>2</v>
      </c>
      <c r="E567" s="1">
        <v>3</v>
      </c>
      <c r="F567" s="1">
        <v>2.5</v>
      </c>
      <c r="G567" s="1">
        <v>1</v>
      </c>
      <c r="H567" s="5">
        <v>1.1840000000000002</v>
      </c>
      <c r="I567" s="2">
        <v>1.4560709994961827</v>
      </c>
      <c r="J567" s="3">
        <v>7914</v>
      </c>
      <c r="K567">
        <v>2.3524824538601505</v>
      </c>
      <c r="L567">
        <v>1.5336625942292694</v>
      </c>
      <c r="M567">
        <v>1.1000000000000001</v>
      </c>
    </row>
    <row r="568" spans="1:15" x14ac:dyDescent="0.25">
      <c r="A568" s="8" t="s">
        <v>123</v>
      </c>
      <c r="B568" s="1" t="s">
        <v>11</v>
      </c>
      <c r="C568" s="1">
        <v>2018</v>
      </c>
      <c r="D568" s="1">
        <v>2</v>
      </c>
      <c r="E568" s="1">
        <v>3</v>
      </c>
      <c r="F568" s="1">
        <v>2.5</v>
      </c>
      <c r="G568" s="1">
        <v>1</v>
      </c>
      <c r="H568" s="2">
        <v>1.1147</v>
      </c>
      <c r="I568" s="2">
        <v>1.0558840358573336</v>
      </c>
      <c r="J568" s="3">
        <v>7961</v>
      </c>
      <c r="K568">
        <v>2.3524824538601505</v>
      </c>
      <c r="L568">
        <v>1.5336625942292694</v>
      </c>
      <c r="M568">
        <v>1.1000000000000001</v>
      </c>
    </row>
    <row r="569" spans="1:15" x14ac:dyDescent="0.25">
      <c r="A569" s="8" t="s">
        <v>124</v>
      </c>
      <c r="B569" s="1" t="s">
        <v>11</v>
      </c>
      <c r="C569" s="1">
        <v>2014</v>
      </c>
      <c r="D569" s="1">
        <v>2</v>
      </c>
      <c r="E569" s="1">
        <v>3</v>
      </c>
      <c r="F569" s="1">
        <v>2.5</v>
      </c>
      <c r="G569" s="1">
        <v>1</v>
      </c>
      <c r="H569" s="2">
        <v>0.99920095884938076</v>
      </c>
      <c r="I569" s="2">
        <v>1.0338869992745132</v>
      </c>
      <c r="J569" s="3">
        <v>6238</v>
      </c>
      <c r="K569">
        <v>6.943296412630187</v>
      </c>
      <c r="L569">
        <v>1.5705075219044469</v>
      </c>
      <c r="M569">
        <v>1.9</v>
      </c>
    </row>
    <row r="570" spans="1:15" x14ac:dyDescent="0.25">
      <c r="A570" s="8" t="s">
        <v>124</v>
      </c>
      <c r="B570" s="1" t="s">
        <v>11</v>
      </c>
      <c r="C570" s="1">
        <v>2015</v>
      </c>
      <c r="D570" s="1">
        <v>2</v>
      </c>
      <c r="E570" s="1">
        <v>3</v>
      </c>
      <c r="F570" s="1">
        <v>2.5</v>
      </c>
      <c r="G570" s="1">
        <v>1</v>
      </c>
      <c r="H570" s="2">
        <v>1.0174000000000001</v>
      </c>
      <c r="I570" s="2">
        <v>1.2148524459158627</v>
      </c>
      <c r="J570" s="3">
        <v>6194</v>
      </c>
      <c r="K570">
        <v>6.943296412630187</v>
      </c>
      <c r="L570">
        <v>1.5705075219044469</v>
      </c>
      <c r="M570">
        <v>1.9</v>
      </c>
    </row>
    <row r="571" spans="1:15" x14ac:dyDescent="0.25">
      <c r="A571" t="s">
        <v>124</v>
      </c>
      <c r="B571" s="1" t="s">
        <v>11</v>
      </c>
      <c r="C571" s="1">
        <v>2016</v>
      </c>
      <c r="D571" s="1">
        <v>2</v>
      </c>
      <c r="E571" s="1">
        <v>3</v>
      </c>
      <c r="F571" s="1">
        <v>2.5</v>
      </c>
      <c r="G571" s="1">
        <v>1</v>
      </c>
      <c r="H571" s="2">
        <v>1.3226</v>
      </c>
      <c r="I571" s="2">
        <v>1.0575963266120982</v>
      </c>
      <c r="J571" s="6">
        <v>6049</v>
      </c>
      <c r="K571" s="7">
        <v>6.943296412630187</v>
      </c>
      <c r="L571" s="7">
        <v>1.5705075219044469</v>
      </c>
      <c r="M571">
        <v>1.9</v>
      </c>
      <c r="O571" s="7"/>
    </row>
    <row r="572" spans="1:15" x14ac:dyDescent="0.25">
      <c r="A572" t="s">
        <v>124</v>
      </c>
      <c r="B572" s="1" t="s">
        <v>11</v>
      </c>
      <c r="C572" s="1">
        <v>2017</v>
      </c>
      <c r="D572" s="1">
        <v>2</v>
      </c>
      <c r="E572" s="1">
        <v>3</v>
      </c>
      <c r="F572" s="1">
        <v>2.5</v>
      </c>
      <c r="G572" s="1">
        <v>1</v>
      </c>
      <c r="H572" s="5">
        <v>0.96189999999999998</v>
      </c>
      <c r="I572" s="2">
        <v>1.1006472835314092</v>
      </c>
      <c r="J572" s="3">
        <v>6106</v>
      </c>
      <c r="K572">
        <v>6.943296412630187</v>
      </c>
      <c r="L572">
        <v>1.5705075219044469</v>
      </c>
      <c r="M572">
        <v>1.9</v>
      </c>
    </row>
    <row r="573" spans="1:15" x14ac:dyDescent="0.25">
      <c r="A573" s="8" t="s">
        <v>124</v>
      </c>
      <c r="B573" s="1" t="s">
        <v>11</v>
      </c>
      <c r="C573" s="1">
        <v>2018</v>
      </c>
      <c r="D573" s="1">
        <v>2</v>
      </c>
      <c r="E573" s="1">
        <v>3</v>
      </c>
      <c r="F573" s="1">
        <v>2.5</v>
      </c>
      <c r="G573" s="1">
        <v>1</v>
      </c>
      <c r="H573" s="2">
        <v>0.97989999999999999</v>
      </c>
      <c r="I573" s="2">
        <v>1.0220891824938068</v>
      </c>
      <c r="J573" s="3">
        <v>6062</v>
      </c>
      <c r="K573">
        <v>6.943296412630187</v>
      </c>
      <c r="L573">
        <v>1.5705075219044469</v>
      </c>
      <c r="M573">
        <v>1.9</v>
      </c>
    </row>
    <row r="574" spans="1:15" x14ac:dyDescent="0.25">
      <c r="A574" s="8" t="s">
        <v>125</v>
      </c>
      <c r="B574" s="1" t="s">
        <v>11</v>
      </c>
      <c r="C574" s="1">
        <v>2014</v>
      </c>
      <c r="D574" s="1">
        <v>2</v>
      </c>
      <c r="E574" s="1">
        <v>3</v>
      </c>
      <c r="F574" s="1">
        <v>2.5</v>
      </c>
      <c r="G574" s="1">
        <v>1</v>
      </c>
      <c r="H574" s="2">
        <v>1.7077033407039981</v>
      </c>
      <c r="I574" s="2">
        <v>1.0182606936910135</v>
      </c>
      <c r="J574" s="3">
        <v>62776</v>
      </c>
      <c r="K574">
        <v>5.6297388711668246</v>
      </c>
      <c r="L574">
        <v>6.5963483641376666</v>
      </c>
      <c r="M574">
        <v>13</v>
      </c>
    </row>
    <row r="575" spans="1:15" x14ac:dyDescent="0.25">
      <c r="A575" s="8" t="s">
        <v>125</v>
      </c>
      <c r="B575" s="1" t="s">
        <v>11</v>
      </c>
      <c r="C575" s="1">
        <v>2015</v>
      </c>
      <c r="D575" s="1">
        <v>2</v>
      </c>
      <c r="E575" s="1">
        <v>3</v>
      </c>
      <c r="F575" s="1">
        <v>2.5</v>
      </c>
      <c r="G575" s="1">
        <v>1</v>
      </c>
      <c r="H575" s="2">
        <v>1.161</v>
      </c>
      <c r="I575" s="2">
        <v>1.2371666397022922</v>
      </c>
      <c r="J575" s="3">
        <v>63327</v>
      </c>
      <c r="K575">
        <v>5.6297388711668246</v>
      </c>
      <c r="L575">
        <v>6.5963483641376666</v>
      </c>
      <c r="M575">
        <v>13.1</v>
      </c>
    </row>
    <row r="576" spans="1:15" x14ac:dyDescent="0.25">
      <c r="A576" t="s">
        <v>125</v>
      </c>
      <c r="B576" s="1" t="s">
        <v>11</v>
      </c>
      <c r="C576" s="1">
        <v>2016</v>
      </c>
      <c r="D576" s="1">
        <v>2</v>
      </c>
      <c r="E576" s="1">
        <v>3</v>
      </c>
      <c r="F576" s="1">
        <v>2.5</v>
      </c>
      <c r="G576" s="1">
        <v>1</v>
      </c>
      <c r="H576" s="2">
        <v>1.4706999999999999</v>
      </c>
      <c r="I576" s="2">
        <v>1.0346188041540878</v>
      </c>
      <c r="J576" s="6">
        <v>62383</v>
      </c>
      <c r="K576" s="7">
        <v>5.6297388711668246</v>
      </c>
      <c r="L576" s="7">
        <v>6.5963483641376666</v>
      </c>
      <c r="M576">
        <v>13.2</v>
      </c>
      <c r="O576" s="7"/>
    </row>
    <row r="577" spans="1:15" x14ac:dyDescent="0.25">
      <c r="A577" t="s">
        <v>125</v>
      </c>
      <c r="B577" s="1" t="s">
        <v>11</v>
      </c>
      <c r="C577" s="1">
        <v>2017</v>
      </c>
      <c r="D577" s="1">
        <v>2</v>
      </c>
      <c r="E577" s="1">
        <v>3</v>
      </c>
      <c r="F577" s="1">
        <v>2.5</v>
      </c>
      <c r="G577" s="1">
        <v>1</v>
      </c>
      <c r="H577" s="5">
        <v>0.55799999999999994</v>
      </c>
      <c r="I577" s="2">
        <v>1.2681840632202832</v>
      </c>
      <c r="J577" s="3">
        <v>64312</v>
      </c>
      <c r="K577">
        <v>5.6297388711668246</v>
      </c>
      <c r="L577">
        <v>6.5963483641376666</v>
      </c>
      <c r="M577">
        <v>13.3</v>
      </c>
    </row>
    <row r="578" spans="1:15" x14ac:dyDescent="0.25">
      <c r="A578" s="8" t="s">
        <v>125</v>
      </c>
      <c r="B578" s="1" t="s">
        <v>11</v>
      </c>
      <c r="C578" s="1">
        <v>2018</v>
      </c>
      <c r="D578" s="1">
        <v>2</v>
      </c>
      <c r="E578" s="1">
        <v>3</v>
      </c>
      <c r="F578" s="1">
        <v>2.5</v>
      </c>
      <c r="G578" s="1">
        <v>1</v>
      </c>
      <c r="H578" s="2">
        <v>0.63109999999999999</v>
      </c>
      <c r="I578" s="2">
        <v>0.92648055436022747</v>
      </c>
      <c r="J578" s="3">
        <v>64820</v>
      </c>
      <c r="K578">
        <v>5.6297388711668246</v>
      </c>
      <c r="L578">
        <v>6.5963483641376666</v>
      </c>
      <c r="M578">
        <v>13.4</v>
      </c>
    </row>
    <row r="579" spans="1:15" x14ac:dyDescent="0.25">
      <c r="A579" s="8" t="s">
        <v>126</v>
      </c>
      <c r="B579" s="1" t="s">
        <v>11</v>
      </c>
      <c r="C579" s="1">
        <v>2014</v>
      </c>
      <c r="D579" s="1">
        <v>3</v>
      </c>
      <c r="E579" s="1">
        <v>3</v>
      </c>
      <c r="F579" s="1">
        <v>3</v>
      </c>
      <c r="G579" s="1">
        <v>0</v>
      </c>
      <c r="H579" s="2">
        <v>1.4464060529634299</v>
      </c>
      <c r="I579" s="2">
        <v>0.99890710382513659</v>
      </c>
      <c r="J579" s="3">
        <v>3149</v>
      </c>
      <c r="K579">
        <v>5.9546925566343045</v>
      </c>
      <c r="L579">
        <v>1.3592233009708738</v>
      </c>
      <c r="M579">
        <v>0.5</v>
      </c>
    </row>
    <row r="580" spans="1:15" x14ac:dyDescent="0.25">
      <c r="A580" s="8" t="s">
        <v>126</v>
      </c>
      <c r="B580" s="1" t="s">
        <v>11</v>
      </c>
      <c r="C580" s="1">
        <v>2015</v>
      </c>
      <c r="D580" s="1">
        <v>3</v>
      </c>
      <c r="E580" s="1">
        <v>3</v>
      </c>
      <c r="F580" s="1">
        <v>3</v>
      </c>
      <c r="G580" s="1">
        <v>0</v>
      </c>
      <c r="H580" s="2">
        <v>1.0787</v>
      </c>
      <c r="I580" s="2">
        <v>1.1013080531211608</v>
      </c>
      <c r="J580" s="3">
        <v>3128</v>
      </c>
      <c r="K580">
        <v>5.9546925566343045</v>
      </c>
      <c r="L580">
        <v>1.3592233009708738</v>
      </c>
      <c r="M580">
        <v>0.5</v>
      </c>
    </row>
    <row r="581" spans="1:15" x14ac:dyDescent="0.25">
      <c r="A581" t="s">
        <v>126</v>
      </c>
      <c r="B581" s="1" t="s">
        <v>11</v>
      </c>
      <c r="C581" s="1">
        <v>2016</v>
      </c>
      <c r="D581" s="1">
        <v>3</v>
      </c>
      <c r="E581" s="1">
        <v>3</v>
      </c>
      <c r="F581" s="1">
        <v>3</v>
      </c>
      <c r="G581" s="1">
        <v>0</v>
      </c>
      <c r="H581" s="2">
        <v>1.1843000000000001</v>
      </c>
      <c r="I581" s="2">
        <v>1.2646737433655948</v>
      </c>
      <c r="J581" s="6">
        <v>3090</v>
      </c>
      <c r="K581" s="7">
        <v>5.9546925566343045</v>
      </c>
      <c r="L581" s="7">
        <v>1.3592233009708738</v>
      </c>
      <c r="M581">
        <v>0.5</v>
      </c>
      <c r="O581" s="7"/>
    </row>
    <row r="582" spans="1:15" x14ac:dyDescent="0.25">
      <c r="A582" t="s">
        <v>126</v>
      </c>
      <c r="B582" s="1" t="s">
        <v>11</v>
      </c>
      <c r="C582" s="1">
        <v>2017</v>
      </c>
      <c r="D582" s="1">
        <v>3</v>
      </c>
      <c r="E582" s="1">
        <v>3</v>
      </c>
      <c r="F582" s="1">
        <v>3</v>
      </c>
      <c r="G582" s="1">
        <v>0</v>
      </c>
      <c r="H582" s="5">
        <v>1.0548</v>
      </c>
      <c r="I582" s="2">
        <v>1.4547526591254432</v>
      </c>
      <c r="J582" s="3">
        <v>3146</v>
      </c>
      <c r="K582">
        <v>5.9546925566343045</v>
      </c>
      <c r="L582">
        <v>1.3592233009708738</v>
      </c>
      <c r="M582">
        <v>0.5</v>
      </c>
    </row>
    <row r="583" spans="1:15" x14ac:dyDescent="0.25">
      <c r="A583" s="8" t="s">
        <v>126</v>
      </c>
      <c r="B583" s="1" t="s">
        <v>11</v>
      </c>
      <c r="C583" s="1">
        <v>2018</v>
      </c>
      <c r="D583" s="1">
        <v>3</v>
      </c>
      <c r="E583" s="1">
        <v>3</v>
      </c>
      <c r="F583" s="1">
        <v>3</v>
      </c>
      <c r="G583" s="1">
        <v>0</v>
      </c>
      <c r="H583" s="2">
        <v>1.127</v>
      </c>
      <c r="I583" s="2">
        <v>1.0804794526962758</v>
      </c>
      <c r="J583" s="3">
        <v>3132</v>
      </c>
      <c r="K583">
        <v>5.9546925566343045</v>
      </c>
      <c r="L583">
        <v>1.3592233009708738</v>
      </c>
      <c r="M583">
        <v>0.5</v>
      </c>
    </row>
    <row r="584" spans="1:15" x14ac:dyDescent="0.25">
      <c r="A584" s="8" t="s">
        <v>127</v>
      </c>
      <c r="B584" s="1" t="s">
        <v>11</v>
      </c>
      <c r="C584" s="1">
        <v>2014</v>
      </c>
      <c r="D584" s="1">
        <v>4</v>
      </c>
      <c r="E584" s="1">
        <v>5</v>
      </c>
      <c r="F584" s="1">
        <v>4.5</v>
      </c>
      <c r="G584" s="1">
        <v>1</v>
      </c>
      <c r="H584" s="2">
        <v>1</v>
      </c>
      <c r="I584" s="2">
        <v>1.0480216113141585</v>
      </c>
      <c r="J584" s="3">
        <v>6512</v>
      </c>
      <c r="K584">
        <v>29.401178010471202</v>
      </c>
      <c r="L584">
        <v>5.1210732984293195</v>
      </c>
      <c r="M584">
        <v>0.3</v>
      </c>
    </row>
    <row r="585" spans="1:15" x14ac:dyDescent="0.25">
      <c r="A585" s="8" t="s">
        <v>127</v>
      </c>
      <c r="B585" s="1" t="s">
        <v>11</v>
      </c>
      <c r="C585" s="1">
        <v>2015</v>
      </c>
      <c r="D585" s="1">
        <v>4</v>
      </c>
      <c r="E585" s="1">
        <v>5</v>
      </c>
      <c r="F585" s="1">
        <v>4.5</v>
      </c>
      <c r="G585" s="1">
        <v>1</v>
      </c>
      <c r="H585" s="2">
        <v>1.0057</v>
      </c>
      <c r="I585" s="2">
        <v>1.3552538537689154</v>
      </c>
      <c r="J585" s="3">
        <v>6419</v>
      </c>
      <c r="K585">
        <v>29.401178010471202</v>
      </c>
      <c r="L585">
        <v>5.1210732984293195</v>
      </c>
      <c r="M585">
        <v>0.3</v>
      </c>
    </row>
    <row r="586" spans="1:15" x14ac:dyDescent="0.25">
      <c r="A586" t="s">
        <v>127</v>
      </c>
      <c r="B586" s="1" t="s">
        <v>11</v>
      </c>
      <c r="C586" s="1">
        <v>2016</v>
      </c>
      <c r="D586" s="1">
        <v>4</v>
      </c>
      <c r="E586" s="1">
        <v>5</v>
      </c>
      <c r="F586" s="1">
        <v>4.5</v>
      </c>
      <c r="G586" s="1">
        <v>1</v>
      </c>
      <c r="H586" s="2">
        <v>0.82</v>
      </c>
      <c r="I586" s="2">
        <v>1.1595210365409812</v>
      </c>
      <c r="J586" s="6">
        <v>6112</v>
      </c>
      <c r="K586" s="7">
        <v>29.401178010471202</v>
      </c>
      <c r="L586" s="7">
        <v>5.1210732984293195</v>
      </c>
      <c r="M586">
        <v>0.3</v>
      </c>
      <c r="O586" s="7"/>
    </row>
    <row r="587" spans="1:15" x14ac:dyDescent="0.25">
      <c r="A587" t="s">
        <v>127</v>
      </c>
      <c r="B587" s="1" t="s">
        <v>11</v>
      </c>
      <c r="C587" s="1">
        <v>2017</v>
      </c>
      <c r="D587" s="1">
        <v>4</v>
      </c>
      <c r="E587" s="1">
        <v>5</v>
      </c>
      <c r="F587" s="1">
        <v>4.5</v>
      </c>
      <c r="G587" s="1">
        <v>1</v>
      </c>
      <c r="H587" s="5">
        <v>0.72829999999999995</v>
      </c>
      <c r="I587" s="2">
        <v>1.27015243065092</v>
      </c>
      <c r="J587" s="3">
        <v>6197</v>
      </c>
      <c r="K587">
        <v>29.401178010471202</v>
      </c>
      <c r="L587">
        <v>5.1210732984293195</v>
      </c>
      <c r="M587">
        <v>0.3</v>
      </c>
    </row>
    <row r="588" spans="1:15" x14ac:dyDescent="0.25">
      <c r="A588" s="8" t="s">
        <v>127</v>
      </c>
      <c r="B588" s="1" t="s">
        <v>11</v>
      </c>
      <c r="C588" s="1">
        <v>2018</v>
      </c>
      <c r="D588" s="1">
        <v>4</v>
      </c>
      <c r="E588" s="1">
        <v>5</v>
      </c>
      <c r="F588" s="1">
        <v>4.5</v>
      </c>
      <c r="G588" s="1">
        <v>1</v>
      </c>
      <c r="H588" s="2">
        <v>0.7548999999999999</v>
      </c>
      <c r="I588" s="2">
        <v>0.9634939682940693</v>
      </c>
      <c r="J588" s="3">
        <v>6051</v>
      </c>
      <c r="K588">
        <v>29.401178010471202</v>
      </c>
      <c r="L588">
        <v>5.1210732984293195</v>
      </c>
      <c r="M588">
        <v>0.3</v>
      </c>
    </row>
    <row r="589" spans="1:15" x14ac:dyDescent="0.25">
      <c r="A589" s="8" t="s">
        <v>128</v>
      </c>
      <c r="B589" s="1" t="s">
        <v>11</v>
      </c>
      <c r="C589" s="1">
        <v>2014</v>
      </c>
      <c r="D589" s="1">
        <v>3</v>
      </c>
      <c r="E589" s="1">
        <v>4</v>
      </c>
      <c r="F589" s="1">
        <v>3.5</v>
      </c>
      <c r="G589" s="1">
        <v>1</v>
      </c>
      <c r="H589" s="2">
        <v>0.8288213244481466</v>
      </c>
      <c r="I589" s="2">
        <v>0.94268605645851156</v>
      </c>
      <c r="J589" s="3">
        <v>2809</v>
      </c>
      <c r="K589">
        <v>14.395604395604394</v>
      </c>
      <c r="L589">
        <v>2.0146520146520146</v>
      </c>
      <c r="M589">
        <v>0.3</v>
      </c>
    </row>
    <row r="590" spans="1:15" x14ac:dyDescent="0.25">
      <c r="A590" s="8" t="s">
        <v>128</v>
      </c>
      <c r="B590" s="1" t="s">
        <v>11</v>
      </c>
      <c r="C590" s="1">
        <v>2015</v>
      </c>
      <c r="D590" s="1">
        <v>3</v>
      </c>
      <c r="E590" s="1">
        <v>4</v>
      </c>
      <c r="F590" s="1">
        <v>3.5</v>
      </c>
      <c r="G590" s="1">
        <v>1</v>
      </c>
      <c r="H590" s="2">
        <v>1.1791</v>
      </c>
      <c r="I590" s="2">
        <v>1.0247367132010776</v>
      </c>
      <c r="J590" s="3">
        <v>2783</v>
      </c>
      <c r="K590">
        <v>14.395604395604394</v>
      </c>
      <c r="L590">
        <v>2.0146520146520146</v>
      </c>
      <c r="M590">
        <v>0.3</v>
      </c>
    </row>
    <row r="591" spans="1:15" x14ac:dyDescent="0.25">
      <c r="A591" t="s">
        <v>128</v>
      </c>
      <c r="B591" s="1" t="s">
        <v>11</v>
      </c>
      <c r="C591" s="1">
        <v>2016</v>
      </c>
      <c r="D591" s="1">
        <v>3</v>
      </c>
      <c r="E591" s="1">
        <v>4</v>
      </c>
      <c r="F591" s="1">
        <v>3.5</v>
      </c>
      <c r="G591" s="1">
        <v>1</v>
      </c>
      <c r="H591" s="2">
        <v>1.1695</v>
      </c>
      <c r="I591" s="2">
        <v>1.2574876291344734</v>
      </c>
      <c r="J591" s="6">
        <v>2730</v>
      </c>
      <c r="K591" s="7">
        <v>14.395604395604394</v>
      </c>
      <c r="L591" s="7">
        <v>2.0146520146520146</v>
      </c>
      <c r="M591">
        <v>0.3</v>
      </c>
      <c r="O591" s="7"/>
    </row>
    <row r="592" spans="1:15" x14ac:dyDescent="0.25">
      <c r="A592" t="s">
        <v>128</v>
      </c>
      <c r="B592" s="1" t="s">
        <v>11</v>
      </c>
      <c r="C592" s="1">
        <v>2017</v>
      </c>
      <c r="D592" s="1">
        <v>3</v>
      </c>
      <c r="E592" s="1">
        <v>4</v>
      </c>
      <c r="F592" s="1">
        <v>3.5</v>
      </c>
      <c r="G592" s="1">
        <v>1</v>
      </c>
      <c r="H592" s="5">
        <v>1.5827</v>
      </c>
      <c r="I592" s="2">
        <v>1.2842050052450171</v>
      </c>
      <c r="J592" s="3">
        <v>2765</v>
      </c>
      <c r="K592">
        <v>14.395604395604394</v>
      </c>
      <c r="L592">
        <v>2.0146520146520146</v>
      </c>
      <c r="M592">
        <v>0.3</v>
      </c>
    </row>
    <row r="593" spans="1:15" x14ac:dyDescent="0.25">
      <c r="A593" s="8" t="s">
        <v>128</v>
      </c>
      <c r="B593" s="1" t="s">
        <v>11</v>
      </c>
      <c r="C593" s="1">
        <v>2018</v>
      </c>
      <c r="D593" s="1">
        <v>3</v>
      </c>
      <c r="E593" s="1">
        <v>4</v>
      </c>
      <c r="F593" s="1">
        <v>3.5</v>
      </c>
      <c r="G593" s="1">
        <v>1</v>
      </c>
      <c r="H593" s="2">
        <v>1.5241</v>
      </c>
      <c r="I593" s="2">
        <v>1.1224459358687546</v>
      </c>
      <c r="J593" s="3">
        <v>2745</v>
      </c>
      <c r="K593">
        <v>14.395604395604394</v>
      </c>
      <c r="L593">
        <v>2.0146520146520146</v>
      </c>
      <c r="M593">
        <v>0.3</v>
      </c>
    </row>
    <row r="594" spans="1:15" x14ac:dyDescent="0.25">
      <c r="A594" s="8" t="s">
        <v>129</v>
      </c>
      <c r="B594" s="1" t="s">
        <v>11</v>
      </c>
      <c r="C594" s="1">
        <v>2014</v>
      </c>
      <c r="D594" s="1">
        <v>3</v>
      </c>
      <c r="E594" s="1">
        <v>4</v>
      </c>
      <c r="F594" s="1">
        <v>3.5</v>
      </c>
      <c r="G594" s="1">
        <v>1</v>
      </c>
      <c r="H594" s="2">
        <v>0.92651149172888303</v>
      </c>
      <c r="I594" s="2">
        <v>0.85003839262861536</v>
      </c>
      <c r="J594" s="3">
        <v>9689</v>
      </c>
      <c r="K594">
        <v>9.7974413646055449</v>
      </c>
      <c r="L594">
        <v>2.0255863539445631</v>
      </c>
      <c r="M594">
        <v>0.8</v>
      </c>
    </row>
    <row r="595" spans="1:15" x14ac:dyDescent="0.25">
      <c r="A595" s="8" t="s">
        <v>129</v>
      </c>
      <c r="B595" s="1" t="s">
        <v>11</v>
      </c>
      <c r="C595" s="1">
        <v>2015</v>
      </c>
      <c r="D595" s="1">
        <v>3</v>
      </c>
      <c r="E595" s="1">
        <v>4</v>
      </c>
      <c r="F595" s="1">
        <v>3.5</v>
      </c>
      <c r="G595" s="1">
        <v>1</v>
      </c>
      <c r="H595" s="2">
        <v>1.3334000000000001</v>
      </c>
      <c r="I595" s="2">
        <v>0.96070474116599025</v>
      </c>
      <c r="J595" s="3">
        <v>9622</v>
      </c>
      <c r="K595">
        <v>9.7974413646055449</v>
      </c>
      <c r="L595">
        <v>2.0255863539445631</v>
      </c>
      <c r="M595">
        <v>0.8</v>
      </c>
    </row>
    <row r="596" spans="1:15" x14ac:dyDescent="0.25">
      <c r="A596" t="s">
        <v>129</v>
      </c>
      <c r="B596" s="1" t="s">
        <v>11</v>
      </c>
      <c r="C596" s="1">
        <v>2016</v>
      </c>
      <c r="D596" s="1">
        <v>3</v>
      </c>
      <c r="E596" s="1">
        <v>4</v>
      </c>
      <c r="F596" s="1">
        <v>3.5</v>
      </c>
      <c r="G596" s="1">
        <v>1</v>
      </c>
      <c r="H596" s="2">
        <v>1.012</v>
      </c>
      <c r="I596" s="2">
        <v>1.1667052023121387</v>
      </c>
      <c r="J596" s="6">
        <v>9380</v>
      </c>
      <c r="K596" s="7">
        <v>9.7974413646055449</v>
      </c>
      <c r="L596" s="7">
        <v>2.0255863539445631</v>
      </c>
      <c r="M596">
        <v>0.8</v>
      </c>
      <c r="O596" s="7"/>
    </row>
    <row r="597" spans="1:15" x14ac:dyDescent="0.25">
      <c r="A597" t="s">
        <v>129</v>
      </c>
      <c r="B597" s="1" t="s">
        <v>11</v>
      </c>
      <c r="C597" s="1">
        <v>2017</v>
      </c>
      <c r="D597" s="1">
        <v>3</v>
      </c>
      <c r="E597" s="1">
        <v>4</v>
      </c>
      <c r="F597" s="1">
        <v>3.5</v>
      </c>
      <c r="G597" s="1">
        <v>1</v>
      </c>
      <c r="H597" s="5">
        <v>1.1762000000000001</v>
      </c>
      <c r="I597" s="2">
        <v>1.1099580168875891</v>
      </c>
      <c r="J597" s="3">
        <v>9456</v>
      </c>
      <c r="K597">
        <v>9.7974413646055449</v>
      </c>
      <c r="L597">
        <v>2.0255863539445631</v>
      </c>
      <c r="M597">
        <v>0.8</v>
      </c>
    </row>
    <row r="598" spans="1:15" x14ac:dyDescent="0.25">
      <c r="A598" s="8" t="s">
        <v>129</v>
      </c>
      <c r="B598" s="1" t="s">
        <v>11</v>
      </c>
      <c r="C598" s="1">
        <v>2018</v>
      </c>
      <c r="D598" s="1">
        <v>3</v>
      </c>
      <c r="E598" s="1">
        <v>4</v>
      </c>
      <c r="F598" s="1">
        <v>3.5</v>
      </c>
      <c r="G598" s="1">
        <v>1</v>
      </c>
      <c r="H598" s="2">
        <v>1.0770999999999999</v>
      </c>
      <c r="I598" s="2">
        <v>0.92507694427856124</v>
      </c>
      <c r="J598" s="3">
        <v>9399</v>
      </c>
      <c r="K598">
        <v>9.7974413646055449</v>
      </c>
      <c r="L598">
        <v>2.0255863539445631</v>
      </c>
      <c r="M598">
        <v>0.8</v>
      </c>
    </row>
    <row r="599" spans="1:15" x14ac:dyDescent="0.25">
      <c r="A599" s="8" t="s">
        <v>130</v>
      </c>
      <c r="B599" s="1" t="s">
        <v>11</v>
      </c>
      <c r="C599" s="1">
        <v>2014</v>
      </c>
      <c r="D599" s="1">
        <v>1</v>
      </c>
      <c r="E599" s="1">
        <v>1</v>
      </c>
      <c r="F599" s="1">
        <v>1</v>
      </c>
      <c r="G599" s="1">
        <v>0</v>
      </c>
      <c r="H599" s="2">
        <v>0.8511753624375461</v>
      </c>
      <c r="I599" s="2">
        <v>1.088935289225488</v>
      </c>
      <c r="J599" s="3">
        <v>70742</v>
      </c>
      <c r="K599">
        <v>0.41458997500486439</v>
      </c>
      <c r="L599">
        <v>20.994417254127189</v>
      </c>
      <c r="M599">
        <v>7565.4</v>
      </c>
    </row>
    <row r="600" spans="1:15" x14ac:dyDescent="0.25">
      <c r="A600" s="8" t="s">
        <v>130</v>
      </c>
      <c r="B600" s="1" t="s">
        <v>11</v>
      </c>
      <c r="C600" s="1">
        <v>2015</v>
      </c>
      <c r="D600" s="1">
        <v>1</v>
      </c>
      <c r="E600" s="1">
        <v>1</v>
      </c>
      <c r="F600" s="1">
        <v>1</v>
      </c>
      <c r="G600" s="1">
        <v>0</v>
      </c>
      <c r="H600" s="2">
        <v>0.90139999999999998</v>
      </c>
      <c r="I600" s="2">
        <v>1.5009955442308462</v>
      </c>
      <c r="J600" s="3">
        <v>71336</v>
      </c>
      <c r="K600">
        <v>0.41458997500486439</v>
      </c>
      <c r="L600">
        <v>20.994417254127189</v>
      </c>
      <c r="M600">
        <v>7628.9</v>
      </c>
    </row>
    <row r="601" spans="1:15" x14ac:dyDescent="0.25">
      <c r="A601" t="s">
        <v>130</v>
      </c>
      <c r="B601" s="1" t="s">
        <v>11</v>
      </c>
      <c r="C601" s="1">
        <v>2016</v>
      </c>
      <c r="D601" s="1">
        <v>1</v>
      </c>
      <c r="E601" s="1">
        <v>1</v>
      </c>
      <c r="F601" s="1">
        <v>1</v>
      </c>
      <c r="G601" s="1">
        <v>0</v>
      </c>
      <c r="H601" s="2">
        <v>1.0182</v>
      </c>
      <c r="I601" s="2">
        <v>1.1479463676742137</v>
      </c>
      <c r="J601" s="6">
        <v>66813</v>
      </c>
      <c r="K601" s="7">
        <v>0.41458997500486439</v>
      </c>
      <c r="L601" s="7">
        <v>20.994417254127189</v>
      </c>
      <c r="M601">
        <v>7701.3</v>
      </c>
      <c r="O601" s="7"/>
    </row>
    <row r="602" spans="1:15" x14ac:dyDescent="0.25">
      <c r="A602" t="s">
        <v>130</v>
      </c>
      <c r="B602" s="1" t="s">
        <v>11</v>
      </c>
      <c r="C602" s="1">
        <v>2017</v>
      </c>
      <c r="D602" s="1">
        <v>1</v>
      </c>
      <c r="E602" s="1">
        <v>1</v>
      </c>
      <c r="F602" s="1">
        <v>1</v>
      </c>
      <c r="G602" s="1">
        <v>0</v>
      </c>
      <c r="H602" s="5">
        <v>0.98239999999999994</v>
      </c>
      <c r="I602" s="2">
        <v>1.0880228151859643</v>
      </c>
      <c r="J602" s="3">
        <v>73386</v>
      </c>
      <c r="K602">
        <v>0.41458997500486439</v>
      </c>
      <c r="L602">
        <v>20.994417254127189</v>
      </c>
      <c r="M602">
        <v>7848.2</v>
      </c>
    </row>
    <row r="603" spans="1:15" x14ac:dyDescent="0.25">
      <c r="A603" s="8" t="s">
        <v>130</v>
      </c>
      <c r="B603" s="1" t="s">
        <v>11</v>
      </c>
      <c r="C603" s="1">
        <v>2018</v>
      </c>
      <c r="D603" s="1">
        <v>1</v>
      </c>
      <c r="E603" s="1">
        <v>1</v>
      </c>
      <c r="F603" s="1">
        <v>1</v>
      </c>
      <c r="G603" s="1">
        <v>0</v>
      </c>
      <c r="H603" s="2">
        <v>0.9425</v>
      </c>
      <c r="I603" s="2">
        <v>1.0193496568174074</v>
      </c>
      <c r="J603" s="3">
        <v>74114</v>
      </c>
      <c r="K603">
        <v>0.41458997500486439</v>
      </c>
      <c r="L603">
        <v>20.994417254127189</v>
      </c>
      <c r="M603">
        <v>7926</v>
      </c>
    </row>
    <row r="604" spans="1:15" x14ac:dyDescent="0.25">
      <c r="A604" s="8" t="s">
        <v>131</v>
      </c>
      <c r="B604" s="1" t="s">
        <v>11</v>
      </c>
      <c r="C604" s="1">
        <v>2014</v>
      </c>
      <c r="D604" s="1">
        <v>3</v>
      </c>
      <c r="E604" s="1">
        <v>3</v>
      </c>
      <c r="F604" s="1">
        <v>3</v>
      </c>
      <c r="G604" s="1">
        <v>0</v>
      </c>
      <c r="H604" s="2">
        <v>1.1131249999999999</v>
      </c>
      <c r="I604" s="2">
        <v>0.73793163433939291</v>
      </c>
      <c r="J604" s="3">
        <v>3706</v>
      </c>
      <c r="K604">
        <v>3.0874316939890711</v>
      </c>
      <c r="L604">
        <v>1.2295081967213115</v>
      </c>
      <c r="M604">
        <v>1.1000000000000001</v>
      </c>
    </row>
    <row r="605" spans="1:15" x14ac:dyDescent="0.25">
      <c r="A605" s="8" t="s">
        <v>131</v>
      </c>
      <c r="B605" s="1" t="s">
        <v>11</v>
      </c>
      <c r="C605" s="1">
        <v>2015</v>
      </c>
      <c r="D605" s="1">
        <v>3</v>
      </c>
      <c r="E605" s="1">
        <v>3</v>
      </c>
      <c r="F605" s="1">
        <v>3</v>
      </c>
      <c r="G605" s="1">
        <v>0</v>
      </c>
      <c r="H605" s="2">
        <v>1.0622</v>
      </c>
      <c r="I605" s="2">
        <v>0.94879881272609223</v>
      </c>
      <c r="J605" s="3">
        <v>3688</v>
      </c>
      <c r="K605">
        <v>3.0874316939890711</v>
      </c>
      <c r="L605">
        <v>1.2295081967213115</v>
      </c>
      <c r="M605">
        <v>1.1000000000000001</v>
      </c>
    </row>
    <row r="606" spans="1:15" x14ac:dyDescent="0.25">
      <c r="A606" t="s">
        <v>131</v>
      </c>
      <c r="B606" s="1" t="s">
        <v>11</v>
      </c>
      <c r="C606" s="1">
        <v>2016</v>
      </c>
      <c r="D606" s="1">
        <v>3</v>
      </c>
      <c r="E606" s="1">
        <v>3</v>
      </c>
      <c r="F606" s="1">
        <v>3</v>
      </c>
      <c r="G606" s="1">
        <v>0</v>
      </c>
      <c r="H606" s="2">
        <v>1.0033000000000001</v>
      </c>
      <c r="I606" s="2">
        <v>1.1978130125751776</v>
      </c>
      <c r="J606" s="6">
        <v>3660</v>
      </c>
      <c r="K606" s="7">
        <v>3.0874316939890711</v>
      </c>
      <c r="L606" s="7">
        <v>1.2295081967213115</v>
      </c>
      <c r="M606">
        <v>1.1000000000000001</v>
      </c>
      <c r="O606" s="7"/>
    </row>
    <row r="607" spans="1:15" x14ac:dyDescent="0.25">
      <c r="A607" t="s">
        <v>131</v>
      </c>
      <c r="B607" s="1" t="s">
        <v>11</v>
      </c>
      <c r="C607" s="1">
        <v>2017</v>
      </c>
      <c r="D607" s="1">
        <v>3</v>
      </c>
      <c r="E607" s="1">
        <v>3</v>
      </c>
      <c r="F607" s="1">
        <v>3</v>
      </c>
      <c r="G607" s="1">
        <v>0</v>
      </c>
      <c r="H607" s="5">
        <v>1.0073000000000001</v>
      </c>
      <c r="I607" s="2">
        <v>1.3605585775757083</v>
      </c>
      <c r="J607" s="3">
        <v>3643</v>
      </c>
      <c r="K607">
        <v>3.0874316939890711</v>
      </c>
      <c r="L607">
        <v>1.2295081967213115</v>
      </c>
      <c r="M607">
        <v>1.1000000000000001</v>
      </c>
    </row>
    <row r="608" spans="1:15" x14ac:dyDescent="0.25">
      <c r="A608" s="8" t="s">
        <v>131</v>
      </c>
      <c r="B608" s="1" t="s">
        <v>11</v>
      </c>
      <c r="C608" s="1">
        <v>2018</v>
      </c>
      <c r="D608" s="1">
        <v>3</v>
      </c>
      <c r="E608" s="1">
        <v>3</v>
      </c>
      <c r="F608" s="1">
        <v>3</v>
      </c>
      <c r="G608" s="1">
        <v>0</v>
      </c>
      <c r="H608" s="2">
        <v>1.0170000000000001</v>
      </c>
      <c r="I608" s="2">
        <v>0.89989094874591058</v>
      </c>
      <c r="J608" s="3">
        <v>3636</v>
      </c>
      <c r="K608">
        <v>3.0874316939890711</v>
      </c>
      <c r="L608">
        <v>1.2295081967213115</v>
      </c>
      <c r="M608">
        <v>1.1000000000000001</v>
      </c>
    </row>
    <row r="609" spans="1:15" x14ac:dyDescent="0.25">
      <c r="A609" s="8" t="s">
        <v>132</v>
      </c>
      <c r="B609" s="1" t="s">
        <v>11</v>
      </c>
      <c r="C609" s="1">
        <v>2014</v>
      </c>
      <c r="D609" s="1">
        <v>3</v>
      </c>
      <c r="E609" s="1">
        <v>4</v>
      </c>
      <c r="F609" s="1">
        <v>3.5</v>
      </c>
      <c r="G609" s="1">
        <v>1</v>
      </c>
      <c r="H609" s="2">
        <v>0.99711075441412522</v>
      </c>
      <c r="I609" s="2">
        <v>0.91449474165523548</v>
      </c>
      <c r="J609" s="3">
        <v>6877</v>
      </c>
      <c r="K609">
        <v>9.5175051485731093</v>
      </c>
      <c r="L609">
        <v>2.912621359223301</v>
      </c>
      <c r="M609">
        <v>0.3</v>
      </c>
    </row>
    <row r="610" spans="1:15" x14ac:dyDescent="0.25">
      <c r="A610" s="8" t="s">
        <v>132</v>
      </c>
      <c r="B610" s="1" t="s">
        <v>11</v>
      </c>
      <c r="C610" s="1">
        <v>2015</v>
      </c>
      <c r="D610" s="1">
        <v>3</v>
      </c>
      <c r="E610" s="1">
        <v>4</v>
      </c>
      <c r="F610" s="1">
        <v>3.5</v>
      </c>
      <c r="G610" s="1">
        <v>1</v>
      </c>
      <c r="H610" s="2">
        <v>1</v>
      </c>
      <c r="I610" s="2">
        <v>0.98496305953933072</v>
      </c>
      <c r="J610" s="3">
        <v>6890</v>
      </c>
      <c r="K610">
        <v>9.5175051485731093</v>
      </c>
      <c r="L610">
        <v>2.912621359223301</v>
      </c>
      <c r="M610">
        <v>0.3</v>
      </c>
    </row>
    <row r="611" spans="1:15" x14ac:dyDescent="0.25">
      <c r="A611" t="s">
        <v>132</v>
      </c>
      <c r="B611" s="1" t="s">
        <v>11</v>
      </c>
      <c r="C611" s="1">
        <v>2016</v>
      </c>
      <c r="D611" s="1">
        <v>3</v>
      </c>
      <c r="E611" s="1">
        <v>4</v>
      </c>
      <c r="F611" s="1">
        <v>3.5</v>
      </c>
      <c r="G611" s="1">
        <v>1</v>
      </c>
      <c r="H611" s="2">
        <v>1</v>
      </c>
      <c r="I611" s="2">
        <v>1.0925893711402974</v>
      </c>
      <c r="J611" s="6">
        <v>6798</v>
      </c>
      <c r="K611" s="7">
        <v>9.5175051485731093</v>
      </c>
      <c r="L611" s="7">
        <v>2.912621359223301</v>
      </c>
      <c r="M611">
        <v>0.3</v>
      </c>
      <c r="O611" s="7"/>
    </row>
    <row r="612" spans="1:15" x14ac:dyDescent="0.25">
      <c r="A612" t="s">
        <v>132</v>
      </c>
      <c r="B612" s="1" t="s">
        <v>11</v>
      </c>
      <c r="C612" s="1">
        <v>2017</v>
      </c>
      <c r="D612" s="1">
        <v>3</v>
      </c>
      <c r="E612" s="1">
        <v>4</v>
      </c>
      <c r="F612" s="1">
        <v>3.5</v>
      </c>
      <c r="G612" s="1">
        <v>1</v>
      </c>
      <c r="H612" s="5">
        <v>1.1926000000000001</v>
      </c>
      <c r="I612" s="2">
        <v>1.2655899326707278</v>
      </c>
      <c r="J612" s="3">
        <v>6977</v>
      </c>
      <c r="K612">
        <v>9.5175051485731093</v>
      </c>
      <c r="L612">
        <v>2.912621359223301</v>
      </c>
      <c r="M612">
        <v>0.3</v>
      </c>
    </row>
    <row r="613" spans="1:15" x14ac:dyDescent="0.25">
      <c r="A613" s="8" t="s">
        <v>132</v>
      </c>
      <c r="B613" s="1" t="s">
        <v>11</v>
      </c>
      <c r="C613" s="1">
        <v>2018</v>
      </c>
      <c r="D613" s="1">
        <v>3</v>
      </c>
      <c r="E613" s="1">
        <v>4</v>
      </c>
      <c r="F613" s="1">
        <v>3.5</v>
      </c>
      <c r="G613" s="1">
        <v>1</v>
      </c>
      <c r="H613" s="2">
        <v>0.79909999999999992</v>
      </c>
      <c r="I613" s="2">
        <v>1.0134372989136606</v>
      </c>
      <c r="J613" s="3">
        <v>7042</v>
      </c>
      <c r="K613">
        <v>9.5175051485731093</v>
      </c>
      <c r="L613">
        <v>2.912621359223301</v>
      </c>
      <c r="M613">
        <v>0.3</v>
      </c>
    </row>
    <row r="614" spans="1:15" x14ac:dyDescent="0.25">
      <c r="A614" s="8" t="s">
        <v>133</v>
      </c>
      <c r="B614" s="1" t="s">
        <v>11</v>
      </c>
      <c r="C614" s="1">
        <v>2014</v>
      </c>
      <c r="D614" s="1">
        <v>1</v>
      </c>
      <c r="E614" s="1">
        <v>1</v>
      </c>
      <c r="F614" s="1">
        <v>1</v>
      </c>
      <c r="G614" s="1">
        <v>0</v>
      </c>
      <c r="H614" s="2">
        <v>1.6102652644796736</v>
      </c>
      <c r="I614" s="2">
        <v>1.3333333333333333</v>
      </c>
      <c r="J614" s="3">
        <v>74238</v>
      </c>
      <c r="K614">
        <v>0.17899681035758985</v>
      </c>
      <c r="L614">
        <v>40.20564445580932</v>
      </c>
      <c r="M614">
        <v>3310.4</v>
      </c>
    </row>
    <row r="615" spans="1:15" x14ac:dyDescent="0.25">
      <c r="A615" s="8" t="s">
        <v>133</v>
      </c>
      <c r="B615" s="1" t="s">
        <v>11</v>
      </c>
      <c r="C615" s="1">
        <v>2015</v>
      </c>
      <c r="D615" s="1">
        <v>1</v>
      </c>
      <c r="E615" s="1">
        <v>1</v>
      </c>
      <c r="F615" s="1">
        <v>1</v>
      </c>
      <c r="G615" s="1">
        <v>0</v>
      </c>
      <c r="H615" s="2">
        <v>0.75290000000000001</v>
      </c>
      <c r="I615" s="2">
        <v>1.2129486291603861</v>
      </c>
      <c r="J615" s="3">
        <v>75970</v>
      </c>
      <c r="K615">
        <v>0.17899681035758985</v>
      </c>
      <c r="L615">
        <v>40.20564445580932</v>
      </c>
      <c r="M615">
        <v>3387.6</v>
      </c>
    </row>
    <row r="616" spans="1:15" x14ac:dyDescent="0.25">
      <c r="A616" t="s">
        <v>133</v>
      </c>
      <c r="B616" s="1" t="s">
        <v>11</v>
      </c>
      <c r="C616" s="1">
        <v>2016</v>
      </c>
      <c r="D616" s="1">
        <v>1</v>
      </c>
      <c r="E616" s="1">
        <v>1</v>
      </c>
      <c r="F616" s="1">
        <v>1</v>
      </c>
      <c r="G616" s="1">
        <v>0</v>
      </c>
      <c r="H616" s="2">
        <v>1.0034000000000001</v>
      </c>
      <c r="I616" s="2">
        <v>1.357195987375108</v>
      </c>
      <c r="J616" s="6">
        <v>74303</v>
      </c>
      <c r="K616" s="7">
        <v>0.17899681035758985</v>
      </c>
      <c r="L616" s="7">
        <v>40.20564445580932</v>
      </c>
      <c r="M616">
        <v>3473.1</v>
      </c>
      <c r="O616" s="7"/>
    </row>
    <row r="617" spans="1:15" x14ac:dyDescent="0.25">
      <c r="A617" t="s">
        <v>133</v>
      </c>
      <c r="B617" s="1" t="s">
        <v>11</v>
      </c>
      <c r="C617" s="1">
        <v>2017</v>
      </c>
      <c r="D617" s="1">
        <v>1</v>
      </c>
      <c r="E617" s="1">
        <v>1</v>
      </c>
      <c r="F617" s="1">
        <v>1</v>
      </c>
      <c r="G617" s="1">
        <v>0</v>
      </c>
      <c r="H617" s="5">
        <v>1</v>
      </c>
      <c r="I617" s="2">
        <v>1.2196645235150412</v>
      </c>
      <c r="J617" s="3">
        <v>79757</v>
      </c>
      <c r="K617">
        <v>0.17899681035758985</v>
      </c>
      <c r="L617">
        <v>40.20564445580932</v>
      </c>
      <c r="M617">
        <v>3556.5</v>
      </c>
    </row>
    <row r="618" spans="1:15" x14ac:dyDescent="0.25">
      <c r="A618" s="8" t="s">
        <v>133</v>
      </c>
      <c r="B618" s="1" t="s">
        <v>11</v>
      </c>
      <c r="C618" s="1">
        <v>2018</v>
      </c>
      <c r="D618" s="1">
        <v>1</v>
      </c>
      <c r="E618" s="1">
        <v>1</v>
      </c>
      <c r="F618" s="1">
        <v>1</v>
      </c>
      <c r="G618" s="1">
        <v>0</v>
      </c>
      <c r="H618" s="2">
        <v>1</v>
      </c>
      <c r="I618" s="2">
        <v>1.1202305325822046</v>
      </c>
      <c r="J618" s="3">
        <v>80339</v>
      </c>
      <c r="K618">
        <v>0.17899681035758985</v>
      </c>
      <c r="L618">
        <v>40.20564445580932</v>
      </c>
      <c r="M618">
        <v>3582.4</v>
      </c>
    </row>
    <row r="619" spans="1:15" x14ac:dyDescent="0.25">
      <c r="A619" s="8" t="s">
        <v>134</v>
      </c>
      <c r="B619" s="1" t="s">
        <v>11</v>
      </c>
      <c r="C619" s="1">
        <v>2014</v>
      </c>
      <c r="D619" s="1">
        <v>2</v>
      </c>
      <c r="E619" s="1">
        <v>3</v>
      </c>
      <c r="F619" s="1">
        <v>2.5</v>
      </c>
      <c r="G619" s="1">
        <v>1</v>
      </c>
      <c r="H619" s="2">
        <v>1.0581147366176158</v>
      </c>
      <c r="I619" s="2">
        <v>0.99971682485541502</v>
      </c>
      <c r="J619" s="3">
        <v>47470</v>
      </c>
      <c r="K619">
        <v>1.9821212247796482</v>
      </c>
      <c r="L619">
        <v>5.6664856510297001</v>
      </c>
      <c r="M619">
        <v>17.7</v>
      </c>
    </row>
    <row r="620" spans="1:15" x14ac:dyDescent="0.25">
      <c r="A620" s="8" t="s">
        <v>134</v>
      </c>
      <c r="B620" s="1" t="s">
        <v>11</v>
      </c>
      <c r="C620" s="1">
        <v>2015</v>
      </c>
      <c r="D620" s="1">
        <v>2</v>
      </c>
      <c r="E620" s="1">
        <v>3</v>
      </c>
      <c r="F620" s="1">
        <v>2.5</v>
      </c>
      <c r="G620" s="1">
        <v>1</v>
      </c>
      <c r="H620" s="2">
        <v>0.95240000000000014</v>
      </c>
      <c r="I620" s="2">
        <v>1.0772748106597987</v>
      </c>
      <c r="J620" s="3">
        <v>48150</v>
      </c>
      <c r="K620">
        <v>1.9821212247796482</v>
      </c>
      <c r="L620">
        <v>5.6664856510297001</v>
      </c>
      <c r="M620">
        <v>17.899999999999999</v>
      </c>
    </row>
    <row r="621" spans="1:15" x14ac:dyDescent="0.25">
      <c r="A621" t="s">
        <v>134</v>
      </c>
      <c r="B621" s="1" t="s">
        <v>11</v>
      </c>
      <c r="C621" s="1">
        <v>2016</v>
      </c>
      <c r="D621" s="1">
        <v>2</v>
      </c>
      <c r="E621" s="1">
        <v>3</v>
      </c>
      <c r="F621" s="1">
        <v>2.5</v>
      </c>
      <c r="G621" s="1">
        <v>1</v>
      </c>
      <c r="H621" s="2">
        <v>0.8125</v>
      </c>
      <c r="I621" s="2">
        <v>1.2424807191325926</v>
      </c>
      <c r="J621" s="6">
        <v>47878</v>
      </c>
      <c r="K621" s="7">
        <v>1.9821212247796482</v>
      </c>
      <c r="L621" s="7">
        <v>5.6664856510297001</v>
      </c>
      <c r="M621">
        <v>18.2</v>
      </c>
      <c r="O621" s="7"/>
    </row>
    <row r="622" spans="1:15" x14ac:dyDescent="0.25">
      <c r="A622" t="s">
        <v>134</v>
      </c>
      <c r="B622" s="1" t="s">
        <v>11</v>
      </c>
      <c r="C622" s="1">
        <v>2017</v>
      </c>
      <c r="D622" s="1">
        <v>2</v>
      </c>
      <c r="E622" s="1">
        <v>3</v>
      </c>
      <c r="F622" s="1">
        <v>2.5</v>
      </c>
      <c r="G622" s="1">
        <v>1</v>
      </c>
      <c r="H622" s="5">
        <v>1.0571999999999999</v>
      </c>
      <c r="I622" s="2">
        <v>1.398218631363769</v>
      </c>
      <c r="J622" s="3">
        <v>49675</v>
      </c>
      <c r="K622">
        <v>1.9821212247796482</v>
      </c>
      <c r="L622">
        <v>5.6664856510297001</v>
      </c>
      <c r="M622">
        <v>18.5</v>
      </c>
    </row>
    <row r="623" spans="1:15" x14ac:dyDescent="0.25">
      <c r="A623" s="8" t="s">
        <v>134</v>
      </c>
      <c r="B623" s="1" t="s">
        <v>11</v>
      </c>
      <c r="C623" s="1">
        <v>2018</v>
      </c>
      <c r="D623" s="1">
        <v>2</v>
      </c>
      <c r="E623" s="1">
        <v>3</v>
      </c>
      <c r="F623" s="1">
        <v>2.5</v>
      </c>
      <c r="G623" s="1">
        <v>1</v>
      </c>
      <c r="H623" s="2">
        <v>0.85650000000000004</v>
      </c>
      <c r="I623" s="2">
        <v>1.0646310733128592</v>
      </c>
      <c r="J623" s="3">
        <v>50493</v>
      </c>
      <c r="K623">
        <v>1.9821212247796482</v>
      </c>
      <c r="L623">
        <v>5.6664856510297001</v>
      </c>
      <c r="M623">
        <v>18.8</v>
      </c>
    </row>
    <row r="624" spans="1:15" x14ac:dyDescent="0.25">
      <c r="A624" s="8" t="s">
        <v>135</v>
      </c>
      <c r="B624" s="1" t="s">
        <v>11</v>
      </c>
      <c r="C624" s="1">
        <v>2014</v>
      </c>
      <c r="D624" s="1">
        <v>1</v>
      </c>
      <c r="E624" s="1">
        <v>2</v>
      </c>
      <c r="F624" s="1">
        <v>1.5</v>
      </c>
      <c r="G624" s="1">
        <v>1</v>
      </c>
      <c r="H624" s="2">
        <v>0.62956658373706953</v>
      </c>
      <c r="I624" s="2">
        <v>0.95897725212065044</v>
      </c>
      <c r="J624" s="3">
        <v>47445</v>
      </c>
      <c r="K624">
        <v>3.1904369332234133</v>
      </c>
      <c r="L624">
        <v>5.6760098928277003</v>
      </c>
      <c r="M624">
        <v>18.600000000000001</v>
      </c>
    </row>
    <row r="625" spans="1:15" x14ac:dyDescent="0.25">
      <c r="A625" s="8" t="s">
        <v>135</v>
      </c>
      <c r="B625" s="1" t="s">
        <v>11</v>
      </c>
      <c r="C625" s="1">
        <v>2015</v>
      </c>
      <c r="D625" s="1">
        <v>1</v>
      </c>
      <c r="E625" s="1">
        <v>2</v>
      </c>
      <c r="F625" s="1">
        <v>1.5</v>
      </c>
      <c r="G625" s="1">
        <v>1</v>
      </c>
      <c r="H625" s="2">
        <v>0.57299999999999995</v>
      </c>
      <c r="I625" s="2">
        <v>1.1345191372916141</v>
      </c>
      <c r="J625" s="3">
        <v>48562</v>
      </c>
      <c r="K625">
        <v>3.1904369332234133</v>
      </c>
      <c r="L625">
        <v>5.6760098928277003</v>
      </c>
      <c r="M625">
        <v>19</v>
      </c>
    </row>
    <row r="626" spans="1:15" x14ac:dyDescent="0.25">
      <c r="A626" t="s">
        <v>135</v>
      </c>
      <c r="B626" s="1" t="s">
        <v>11</v>
      </c>
      <c r="C626" s="1">
        <v>2016</v>
      </c>
      <c r="D626" s="1">
        <v>1</v>
      </c>
      <c r="E626" s="1">
        <v>2</v>
      </c>
      <c r="F626" s="1">
        <v>1.5</v>
      </c>
      <c r="G626" s="1">
        <v>1</v>
      </c>
      <c r="H626" s="2">
        <v>0.91620000000000001</v>
      </c>
      <c r="I626" s="2">
        <v>1.2556717737183265</v>
      </c>
      <c r="J626" s="6">
        <v>48520</v>
      </c>
      <c r="K626" s="7">
        <v>3.1904369332234133</v>
      </c>
      <c r="L626" s="7">
        <v>5.6760098928277003</v>
      </c>
      <c r="M626">
        <v>19.5</v>
      </c>
      <c r="O626" s="7"/>
    </row>
    <row r="627" spans="1:15" x14ac:dyDescent="0.25">
      <c r="A627" t="s">
        <v>135</v>
      </c>
      <c r="B627" s="1" t="s">
        <v>11</v>
      </c>
      <c r="C627" s="1">
        <v>2017</v>
      </c>
      <c r="D627" s="1">
        <v>1</v>
      </c>
      <c r="E627" s="1">
        <v>2</v>
      </c>
      <c r="F627" s="1">
        <v>1.5</v>
      </c>
      <c r="G627" s="1">
        <v>1</v>
      </c>
      <c r="H627" s="5">
        <v>1.2395</v>
      </c>
      <c r="I627" s="2">
        <v>1.1755651063676742</v>
      </c>
      <c r="J627" s="3">
        <v>51036</v>
      </c>
      <c r="K627">
        <v>3.1904369332234133</v>
      </c>
      <c r="L627">
        <v>5.6760098928277003</v>
      </c>
      <c r="M627">
        <v>20</v>
      </c>
    </row>
    <row r="628" spans="1:15" x14ac:dyDescent="0.25">
      <c r="A628" s="8" t="s">
        <v>135</v>
      </c>
      <c r="B628" s="1" t="s">
        <v>11</v>
      </c>
      <c r="C628" s="1">
        <v>2018</v>
      </c>
      <c r="D628" s="1">
        <v>1</v>
      </c>
      <c r="E628" s="1">
        <v>2</v>
      </c>
      <c r="F628" s="1">
        <v>1.5</v>
      </c>
      <c r="G628" s="1">
        <v>1</v>
      </c>
      <c r="H628" s="2">
        <v>1.8922999999999999</v>
      </c>
      <c r="I628" s="2">
        <v>0.79000523574636938</v>
      </c>
      <c r="J628" s="3">
        <v>52230</v>
      </c>
      <c r="K628">
        <v>3.1904369332234133</v>
      </c>
      <c r="L628">
        <v>5.6760098928277003</v>
      </c>
      <c r="M628">
        <v>20.399999999999999</v>
      </c>
    </row>
    <row r="629" spans="1:15" x14ac:dyDescent="0.25">
      <c r="A629" s="8" t="s">
        <v>136</v>
      </c>
      <c r="B629" s="1" t="s">
        <v>11</v>
      </c>
      <c r="C629" s="1">
        <v>2014</v>
      </c>
      <c r="D629" s="1">
        <v>1</v>
      </c>
      <c r="E629" s="1">
        <v>2</v>
      </c>
      <c r="F629" s="1">
        <v>1.5</v>
      </c>
      <c r="G629" s="1">
        <v>1</v>
      </c>
      <c r="H629" s="2">
        <v>1.2677300109529026</v>
      </c>
      <c r="I629" s="2">
        <v>1.0496841155234657</v>
      </c>
      <c r="J629" s="3">
        <v>206415</v>
      </c>
      <c r="K629">
        <v>2.6228944654520454</v>
      </c>
      <c r="L629">
        <v>16.847222904287186</v>
      </c>
      <c r="M629">
        <v>301.8</v>
      </c>
    </row>
    <row r="630" spans="1:15" x14ac:dyDescent="0.25">
      <c r="A630" s="8" t="s">
        <v>136</v>
      </c>
      <c r="B630" s="1" t="s">
        <v>11</v>
      </c>
      <c r="C630" s="1">
        <v>2015</v>
      </c>
      <c r="D630" s="1">
        <v>1</v>
      </c>
      <c r="E630" s="1">
        <v>2</v>
      </c>
      <c r="F630" s="1">
        <v>1.5</v>
      </c>
      <c r="G630" s="1">
        <v>1</v>
      </c>
      <c r="H630" s="2">
        <v>0.97499999999999998</v>
      </c>
      <c r="I630" s="2">
        <v>1.1307439802850232</v>
      </c>
      <c r="J630" s="3">
        <v>208313</v>
      </c>
      <c r="K630">
        <v>2.6228944654520454</v>
      </c>
      <c r="L630">
        <v>16.847222904287186</v>
      </c>
      <c r="M630">
        <v>304.60000000000002</v>
      </c>
    </row>
    <row r="631" spans="1:15" x14ac:dyDescent="0.25">
      <c r="A631" t="s">
        <v>136</v>
      </c>
      <c r="B631" s="1" t="s">
        <v>11</v>
      </c>
      <c r="C631" s="1">
        <v>2016</v>
      </c>
      <c r="D631" s="1">
        <v>1</v>
      </c>
      <c r="E631" s="1">
        <v>2</v>
      </c>
      <c r="F631" s="1">
        <v>1.5</v>
      </c>
      <c r="G631" s="1">
        <v>1</v>
      </c>
      <c r="H631" s="2">
        <v>0.97400000000000009</v>
      </c>
      <c r="I631" s="2">
        <v>1.1099359822440573</v>
      </c>
      <c r="J631" s="6">
        <v>203630</v>
      </c>
      <c r="K631" s="7">
        <v>2.6228944654520454</v>
      </c>
      <c r="L631" s="7">
        <v>16.847222904287186</v>
      </c>
      <c r="M631">
        <v>307.60000000000002</v>
      </c>
      <c r="O631" s="7"/>
    </row>
    <row r="632" spans="1:15" x14ac:dyDescent="0.25">
      <c r="A632" t="s">
        <v>136</v>
      </c>
      <c r="B632" s="1" t="s">
        <v>11</v>
      </c>
      <c r="C632" s="1">
        <v>2017</v>
      </c>
      <c r="D632" s="1">
        <v>1</v>
      </c>
      <c r="E632" s="1">
        <v>2</v>
      </c>
      <c r="F632" s="1">
        <v>1.5</v>
      </c>
      <c r="G632" s="1">
        <v>1</v>
      </c>
      <c r="H632" s="5">
        <v>0.98069999999999991</v>
      </c>
      <c r="I632" s="2">
        <v>1.2723480497281106</v>
      </c>
      <c r="J632" s="3">
        <v>213281</v>
      </c>
      <c r="K632">
        <v>2.6228944654520454</v>
      </c>
      <c r="L632">
        <v>16.847222904287186</v>
      </c>
      <c r="M632">
        <v>311.8</v>
      </c>
    </row>
    <row r="633" spans="1:15" x14ac:dyDescent="0.25">
      <c r="A633" s="8" t="s">
        <v>136</v>
      </c>
      <c r="B633" s="1" t="s">
        <v>11</v>
      </c>
      <c r="C633" s="1">
        <v>2018</v>
      </c>
      <c r="D633" s="1">
        <v>1</v>
      </c>
      <c r="E633" s="1">
        <v>2</v>
      </c>
      <c r="F633" s="1">
        <v>1.5</v>
      </c>
      <c r="G633" s="1">
        <v>1</v>
      </c>
      <c r="H633" s="2">
        <v>0.98540000000000005</v>
      </c>
      <c r="I633" s="2">
        <v>1.0289178577747329</v>
      </c>
      <c r="J633" s="3">
        <v>216071</v>
      </c>
      <c r="K633">
        <v>2.6228944654520454</v>
      </c>
      <c r="L633">
        <v>16.847222904287186</v>
      </c>
      <c r="M633">
        <v>315.89999999999998</v>
      </c>
    </row>
    <row r="634" spans="1:15" x14ac:dyDescent="0.25">
      <c r="A634" s="8" t="s">
        <v>137</v>
      </c>
      <c r="B634" s="1" t="s">
        <v>11</v>
      </c>
      <c r="C634" s="1">
        <v>2014</v>
      </c>
      <c r="D634" s="1">
        <v>1</v>
      </c>
      <c r="E634" s="1">
        <v>1</v>
      </c>
      <c r="F634" s="1">
        <v>1</v>
      </c>
      <c r="G634" s="1">
        <v>0</v>
      </c>
      <c r="H634" s="2">
        <v>1.0480045180722892</v>
      </c>
      <c r="I634" s="2">
        <v>0.96308049141051133</v>
      </c>
      <c r="J634" s="3">
        <v>57253</v>
      </c>
      <c r="K634">
        <v>0.29683438116484445</v>
      </c>
      <c r="L634">
        <v>15.466730581316027</v>
      </c>
      <c r="M634">
        <v>4663.2</v>
      </c>
    </row>
    <row r="635" spans="1:15" x14ac:dyDescent="0.25">
      <c r="A635" s="8" t="s">
        <v>137</v>
      </c>
      <c r="B635" s="1" t="s">
        <v>11</v>
      </c>
      <c r="C635" s="1">
        <v>2015</v>
      </c>
      <c r="D635" s="1">
        <v>1</v>
      </c>
      <c r="E635" s="1">
        <v>1</v>
      </c>
      <c r="F635" s="1">
        <v>1</v>
      </c>
      <c r="G635" s="1">
        <v>0</v>
      </c>
      <c r="H635" s="2">
        <v>1.0289999999999999</v>
      </c>
      <c r="I635" s="2">
        <v>1.0906722552856447</v>
      </c>
      <c r="J635" s="3">
        <v>57513</v>
      </c>
      <c r="K635">
        <v>0.29683438116484445</v>
      </c>
      <c r="L635">
        <v>15.466730581316027</v>
      </c>
      <c r="M635">
        <v>4684.3999999999996</v>
      </c>
    </row>
    <row r="636" spans="1:15" x14ac:dyDescent="0.25">
      <c r="A636" t="s">
        <v>137</v>
      </c>
      <c r="B636" s="1" t="s">
        <v>11</v>
      </c>
      <c r="C636" s="1">
        <v>2016</v>
      </c>
      <c r="D636" s="1">
        <v>1</v>
      </c>
      <c r="E636" s="1">
        <v>1</v>
      </c>
      <c r="F636" s="1">
        <v>1</v>
      </c>
      <c r="G636" s="1">
        <v>0</v>
      </c>
      <c r="H636" s="2">
        <v>0.99340000000000006</v>
      </c>
      <c r="I636" s="2">
        <v>1.1416300518544908</v>
      </c>
      <c r="J636" s="6">
        <v>54239</v>
      </c>
      <c r="K636" s="7">
        <v>0.29683438116484445</v>
      </c>
      <c r="L636" s="7">
        <v>15.466730581316027</v>
      </c>
      <c r="M636">
        <v>4703.2</v>
      </c>
      <c r="O636" s="7"/>
    </row>
    <row r="637" spans="1:15" x14ac:dyDescent="0.25">
      <c r="A637" t="s">
        <v>137</v>
      </c>
      <c r="B637" s="1" t="s">
        <v>11</v>
      </c>
      <c r="C637" s="1">
        <v>2017</v>
      </c>
      <c r="D637" s="1">
        <v>1</v>
      </c>
      <c r="E637" s="1">
        <v>1</v>
      </c>
      <c r="F637" s="1">
        <v>1</v>
      </c>
      <c r="G637" s="1">
        <v>0</v>
      </c>
      <c r="H637" s="5">
        <v>0.997</v>
      </c>
      <c r="I637" s="2">
        <v>1.1635123557751148</v>
      </c>
      <c r="J637" s="3">
        <v>58504</v>
      </c>
      <c r="K637">
        <v>0.29683438116484445</v>
      </c>
      <c r="L637">
        <v>15.466730581316027</v>
      </c>
      <c r="M637">
        <v>4765.1000000000004</v>
      </c>
    </row>
    <row r="638" spans="1:15" x14ac:dyDescent="0.25">
      <c r="A638" s="8" t="s">
        <v>137</v>
      </c>
      <c r="B638" s="1" t="s">
        <v>11</v>
      </c>
      <c r="C638" s="1">
        <v>2018</v>
      </c>
      <c r="D638" s="1">
        <v>1</v>
      </c>
      <c r="E638" s="1">
        <v>1</v>
      </c>
      <c r="F638" s="1">
        <v>1</v>
      </c>
      <c r="G638" s="1">
        <v>0</v>
      </c>
      <c r="H638" s="2">
        <v>1.0724</v>
      </c>
      <c r="I638" s="2">
        <v>1.0387835069908273</v>
      </c>
      <c r="J638" s="3">
        <v>58964</v>
      </c>
      <c r="K638">
        <v>0.29683438116484445</v>
      </c>
      <c r="L638">
        <v>15.466730581316027</v>
      </c>
      <c r="M638">
        <v>4802.6000000000004</v>
      </c>
    </row>
    <row r="639" spans="1:15" x14ac:dyDescent="0.25">
      <c r="A639" s="8" t="s">
        <v>138</v>
      </c>
      <c r="B639" s="1" t="s">
        <v>11</v>
      </c>
      <c r="C639" s="1">
        <v>2014</v>
      </c>
      <c r="D639" s="9">
        <v>1</v>
      </c>
      <c r="E639" s="9">
        <v>3</v>
      </c>
      <c r="F639" s="9">
        <v>2</v>
      </c>
      <c r="G639" s="1">
        <v>2</v>
      </c>
      <c r="H639" s="2">
        <v>1.6398613518197573</v>
      </c>
      <c r="I639" s="2">
        <v>0.95137173753421</v>
      </c>
      <c r="J639" s="3">
        <v>16188</v>
      </c>
      <c r="K639">
        <v>2.4282970947159761</v>
      </c>
      <c r="L639">
        <v>3.6548349129653719</v>
      </c>
      <c r="M639">
        <v>4.0999999999999996</v>
      </c>
    </row>
    <row r="640" spans="1:15" x14ac:dyDescent="0.25">
      <c r="A640" s="8" t="s">
        <v>138</v>
      </c>
      <c r="B640" s="1" t="s">
        <v>11</v>
      </c>
      <c r="C640" s="1">
        <v>2015</v>
      </c>
      <c r="D640" s="9">
        <v>1</v>
      </c>
      <c r="E640" s="9">
        <v>3</v>
      </c>
      <c r="F640" s="9">
        <v>2</v>
      </c>
      <c r="G640" s="1">
        <v>2</v>
      </c>
      <c r="H640" s="2">
        <v>0.98019999999999996</v>
      </c>
      <c r="I640" s="2">
        <v>0.29357114754098362</v>
      </c>
      <c r="J640" s="3">
        <v>16356</v>
      </c>
      <c r="K640">
        <v>2.4282970947159761</v>
      </c>
      <c r="L640">
        <v>3.6548349129653719</v>
      </c>
      <c r="M640">
        <v>4.0999999999999996</v>
      </c>
    </row>
    <row r="641" spans="1:15" x14ac:dyDescent="0.25">
      <c r="A641" s="10" t="s">
        <v>138</v>
      </c>
      <c r="B641" s="9" t="s">
        <v>11</v>
      </c>
      <c r="C641" s="1">
        <v>2016</v>
      </c>
      <c r="D641" s="9">
        <v>1</v>
      </c>
      <c r="E641" s="9">
        <v>3</v>
      </c>
      <c r="F641" s="9">
        <v>2</v>
      </c>
      <c r="G641" s="1">
        <v>2</v>
      </c>
      <c r="H641" s="2">
        <v>0.96160000000000001</v>
      </c>
      <c r="I641" s="2">
        <v>1.1797535152466518</v>
      </c>
      <c r="J641" s="6">
        <v>16143</v>
      </c>
      <c r="K641" s="7">
        <v>2.4282970947159761</v>
      </c>
      <c r="L641" s="7">
        <v>3.6548349129653719</v>
      </c>
      <c r="M641">
        <v>4.0999999999999996</v>
      </c>
      <c r="O641" s="7"/>
    </row>
    <row r="642" spans="1:15" x14ac:dyDescent="0.25">
      <c r="A642" s="10" t="s">
        <v>138</v>
      </c>
      <c r="B642" s="9" t="s">
        <v>11</v>
      </c>
      <c r="C642" s="1">
        <v>2017</v>
      </c>
      <c r="D642" s="9">
        <v>1</v>
      </c>
      <c r="E642" s="9">
        <v>3</v>
      </c>
      <c r="F642" s="9">
        <v>2</v>
      </c>
      <c r="G642" s="1">
        <v>2</v>
      </c>
      <c r="H642" s="5">
        <v>0.95389999999999997</v>
      </c>
      <c r="I642" s="2">
        <v>1.2205007561754326</v>
      </c>
      <c r="J642" s="3">
        <v>16747</v>
      </c>
      <c r="K642">
        <v>2.4282970947159761</v>
      </c>
      <c r="L642">
        <v>3.6548349129653719</v>
      </c>
      <c r="M642">
        <v>4.2</v>
      </c>
    </row>
    <row r="643" spans="1:15" x14ac:dyDescent="0.25">
      <c r="A643" s="8" t="s">
        <v>138</v>
      </c>
      <c r="B643" s="1" t="s">
        <v>11</v>
      </c>
      <c r="C643" s="1">
        <v>2018</v>
      </c>
      <c r="D643" s="9">
        <v>1</v>
      </c>
      <c r="E643" s="9">
        <v>3</v>
      </c>
      <c r="F643" s="9">
        <v>2</v>
      </c>
      <c r="G643" s="1">
        <v>2</v>
      </c>
      <c r="H643" s="2">
        <v>0.9840000000000001</v>
      </c>
      <c r="I643" s="2">
        <v>1.0581038664574118</v>
      </c>
      <c r="J643" s="3">
        <v>16953</v>
      </c>
      <c r="K643">
        <v>2.4282970947159761</v>
      </c>
      <c r="L643">
        <v>3.6548349129653719</v>
      </c>
      <c r="M643">
        <v>4.2</v>
      </c>
    </row>
    <row r="644" spans="1:15" x14ac:dyDescent="0.25">
      <c r="A644" s="8" t="s">
        <v>139</v>
      </c>
      <c r="B644" s="1" t="s">
        <v>140</v>
      </c>
      <c r="C644" s="1">
        <v>2014</v>
      </c>
      <c r="D644" s="1">
        <v>4</v>
      </c>
      <c r="E644" s="1">
        <v>4</v>
      </c>
      <c r="F644" s="1">
        <v>4</v>
      </c>
      <c r="G644" s="1">
        <v>0</v>
      </c>
      <c r="H644" s="2">
        <f>2742/8618</f>
        <v>0.31817126943606405</v>
      </c>
      <c r="I644" s="2">
        <f>35225/37427</f>
        <v>0.94116546877922358</v>
      </c>
      <c r="J644" s="3">
        <v>27486</v>
      </c>
      <c r="K644">
        <v>17.607369399216193</v>
      </c>
      <c r="L644">
        <v>19.021453678639247</v>
      </c>
      <c r="M644">
        <v>83.9</v>
      </c>
    </row>
    <row r="645" spans="1:15" x14ac:dyDescent="0.25">
      <c r="A645" s="8" t="s">
        <v>139</v>
      </c>
      <c r="B645" s="1" t="s">
        <v>140</v>
      </c>
      <c r="C645" s="1">
        <v>2015</v>
      </c>
      <c r="D645" s="1">
        <v>4</v>
      </c>
      <c r="E645" s="1">
        <v>4</v>
      </c>
      <c r="F645" s="1">
        <v>4</v>
      </c>
      <c r="G645" s="1">
        <v>0</v>
      </c>
      <c r="H645" s="2">
        <f>4111/10548</f>
        <v>0.38974213120970802</v>
      </c>
      <c r="I645" s="2">
        <f>32721/34431</f>
        <v>0.95033545351572712</v>
      </c>
      <c r="J645" s="3">
        <v>26843</v>
      </c>
      <c r="K645">
        <v>17.607369399216193</v>
      </c>
      <c r="L645">
        <v>19.021453678639247</v>
      </c>
      <c r="M645">
        <v>81.900000000000006</v>
      </c>
    </row>
    <row r="646" spans="1:15" x14ac:dyDescent="0.25">
      <c r="A646" t="s">
        <v>139</v>
      </c>
      <c r="B646" s="1" t="s">
        <v>140</v>
      </c>
      <c r="C646" s="1">
        <v>2016</v>
      </c>
      <c r="D646" s="1">
        <v>4</v>
      </c>
      <c r="E646" s="1">
        <v>4</v>
      </c>
      <c r="F646" s="1">
        <v>4</v>
      </c>
      <c r="G646" s="1">
        <v>0</v>
      </c>
      <c r="H646" s="2">
        <f>4428/9388</f>
        <v>0.47166595654026416</v>
      </c>
      <c r="I646" s="2">
        <f>36.75/34.61</f>
        <v>1.0618318405085236</v>
      </c>
      <c r="J646" s="6">
        <v>24751</v>
      </c>
      <c r="K646" s="7">
        <v>17.607369399216193</v>
      </c>
      <c r="L646" s="7">
        <v>19.021453678639247</v>
      </c>
      <c r="M646">
        <v>80.900000000000006</v>
      </c>
      <c r="O646" s="7"/>
    </row>
    <row r="647" spans="1:15" x14ac:dyDescent="0.25">
      <c r="A647" t="s">
        <v>139</v>
      </c>
      <c r="B647" s="1" t="s">
        <v>140</v>
      </c>
      <c r="C647" s="1">
        <v>2017</v>
      </c>
      <c r="D647" s="1">
        <v>4</v>
      </c>
      <c r="E647" s="1">
        <v>4</v>
      </c>
      <c r="F647" s="1">
        <v>4</v>
      </c>
      <c r="G647" s="1">
        <v>0</v>
      </c>
      <c r="H647" s="5">
        <f>8943/7723</f>
        <v>1.1579697008934351</v>
      </c>
      <c r="I647" s="2">
        <f>39.5/35.61</f>
        <v>1.1092389778152205</v>
      </c>
      <c r="J647" s="3">
        <v>26554</v>
      </c>
      <c r="K647">
        <v>17.607369399216193</v>
      </c>
      <c r="L647">
        <v>19.021453678639247</v>
      </c>
      <c r="M647">
        <v>81</v>
      </c>
    </row>
    <row r="648" spans="1:15" x14ac:dyDescent="0.25">
      <c r="A648" s="8" t="s">
        <v>139</v>
      </c>
      <c r="B648" s="1" t="s">
        <v>140</v>
      </c>
      <c r="C648" s="1">
        <v>2018</v>
      </c>
      <c r="D648" s="1">
        <v>4</v>
      </c>
      <c r="E648" s="1">
        <v>4</v>
      </c>
      <c r="F648" s="1">
        <v>4</v>
      </c>
      <c r="G648" s="1">
        <v>0</v>
      </c>
      <c r="H648" s="2">
        <f>4546/8011</f>
        <v>0.56746972912245663</v>
      </c>
      <c r="I648" s="2">
        <f>43.14/35.71</f>
        <v>1.2080649677961355</v>
      </c>
      <c r="J648" s="3">
        <v>26534</v>
      </c>
      <c r="K648">
        <v>17.607369399216193</v>
      </c>
      <c r="L648">
        <v>19.021453678639247</v>
      </c>
      <c r="M648">
        <v>81</v>
      </c>
    </row>
    <row r="649" spans="1:15" x14ac:dyDescent="0.25">
      <c r="A649" s="8" t="s">
        <v>141</v>
      </c>
      <c r="B649" s="1" t="s">
        <v>140</v>
      </c>
      <c r="C649" s="1">
        <v>2014</v>
      </c>
      <c r="D649" s="1">
        <v>5</v>
      </c>
      <c r="E649" s="1">
        <v>5</v>
      </c>
      <c r="F649" s="1">
        <v>5</v>
      </c>
      <c r="G649" s="1">
        <v>0</v>
      </c>
      <c r="H649" s="2">
        <f>685185/3427832</f>
        <v>0.19988873433703869</v>
      </c>
      <c r="I649" s="2">
        <f>25353831/30124179</f>
        <v>0.84164388347313968</v>
      </c>
      <c r="J649" s="3">
        <v>7663</v>
      </c>
      <c r="K649">
        <v>68.109407874962429</v>
      </c>
      <c r="L649">
        <v>49.489029155395251</v>
      </c>
      <c r="M649">
        <v>0</v>
      </c>
    </row>
    <row r="650" spans="1:15" x14ac:dyDescent="0.25">
      <c r="A650" s="8" t="s">
        <v>141</v>
      </c>
      <c r="B650" s="1" t="s">
        <v>140</v>
      </c>
      <c r="C650" s="1">
        <v>2015</v>
      </c>
      <c r="D650" s="1">
        <v>5</v>
      </c>
      <c r="E650" s="1">
        <v>5</v>
      </c>
      <c r="F650" s="1">
        <v>5</v>
      </c>
      <c r="G650" s="1">
        <v>0</v>
      </c>
      <c r="H650" s="2">
        <f>794/3355</f>
        <v>0.23666169895678094</v>
      </c>
      <c r="I650" s="2">
        <f>24670/28432</f>
        <v>0.86768429938097913</v>
      </c>
      <c r="J650" s="3">
        <v>7572</v>
      </c>
      <c r="K650">
        <v>68.109407874962429</v>
      </c>
      <c r="L650">
        <v>49.489029155395251</v>
      </c>
      <c r="M650">
        <v>0</v>
      </c>
    </row>
    <row r="651" spans="1:15" x14ac:dyDescent="0.25">
      <c r="A651" t="s">
        <v>141</v>
      </c>
      <c r="B651" s="1" t="s">
        <v>140</v>
      </c>
      <c r="C651" s="1">
        <v>2016</v>
      </c>
      <c r="D651" s="1">
        <v>5</v>
      </c>
      <c r="E651" s="1">
        <v>5</v>
      </c>
      <c r="F651" s="1">
        <v>5</v>
      </c>
      <c r="G651" s="1">
        <v>0</v>
      </c>
      <c r="H651" s="5">
        <f>6100/2957</f>
        <v>2.0629015894487654</v>
      </c>
      <c r="I651" s="2">
        <f>24539/23882</f>
        <v>1.0275102587722971</v>
      </c>
      <c r="J651" s="6">
        <v>6654</v>
      </c>
      <c r="K651" s="7">
        <v>68.109407874962429</v>
      </c>
      <c r="L651" s="7">
        <v>49.489029155395251</v>
      </c>
      <c r="M651">
        <v>0</v>
      </c>
      <c r="O651" s="7"/>
    </row>
    <row r="652" spans="1:15" x14ac:dyDescent="0.25">
      <c r="A652" t="s">
        <v>141</v>
      </c>
      <c r="B652" s="1" t="s">
        <v>140</v>
      </c>
      <c r="C652" s="1">
        <v>2017</v>
      </c>
      <c r="D652" s="1">
        <v>5</v>
      </c>
      <c r="E652" s="1">
        <v>5</v>
      </c>
      <c r="F652" s="1">
        <v>5</v>
      </c>
      <c r="G652" s="1">
        <v>0</v>
      </c>
      <c r="H652" s="2">
        <f>506/3003</f>
        <v>0.16849816849816851</v>
      </c>
      <c r="I652" s="2">
        <f>24864/25041</f>
        <v>0.99293159218881033</v>
      </c>
      <c r="J652" s="3">
        <v>7410</v>
      </c>
      <c r="K652">
        <v>68.109407874962429</v>
      </c>
      <c r="L652">
        <v>49.489029155395251</v>
      </c>
      <c r="M652">
        <v>0</v>
      </c>
    </row>
    <row r="653" spans="1:15" x14ac:dyDescent="0.25">
      <c r="A653" s="8" t="s">
        <v>141</v>
      </c>
      <c r="B653" s="1" t="s">
        <v>140</v>
      </c>
      <c r="C653" s="1">
        <v>2018</v>
      </c>
      <c r="D653" s="1">
        <v>5</v>
      </c>
      <c r="E653" s="1">
        <v>5</v>
      </c>
      <c r="F653" s="1">
        <v>5</v>
      </c>
      <c r="G653" s="1">
        <v>0</v>
      </c>
      <c r="H653" s="2">
        <f>3385/2938</f>
        <v>1.15214431586113</v>
      </c>
      <c r="I653" s="2">
        <f>22806/24335</f>
        <v>0.93716868707622769</v>
      </c>
      <c r="J653" s="3">
        <v>7392</v>
      </c>
      <c r="K653">
        <v>68.109407874962429</v>
      </c>
      <c r="L653">
        <v>49.489029155395251</v>
      </c>
      <c r="M653">
        <v>0</v>
      </c>
    </row>
    <row r="654" spans="1:15" x14ac:dyDescent="0.25">
      <c r="A654" s="8" t="s">
        <v>142</v>
      </c>
      <c r="B654" s="1" t="s">
        <v>140</v>
      </c>
      <c r="C654" s="1">
        <v>2014</v>
      </c>
      <c r="D654" s="1">
        <v>4</v>
      </c>
      <c r="E654" s="1">
        <v>4</v>
      </c>
      <c r="F654" s="1">
        <v>4</v>
      </c>
      <c r="G654" s="1">
        <v>0</v>
      </c>
      <c r="H654" s="2">
        <f>209449/253164</f>
        <v>0.82732537011581431</v>
      </c>
      <c r="I654" s="2">
        <f>1874597/2122345</f>
        <v>0.88326685812155892</v>
      </c>
      <c r="J654" s="3">
        <v>188</v>
      </c>
      <c r="K654">
        <v>96.385542168674704</v>
      </c>
      <c r="L654">
        <v>85.542168674698786</v>
      </c>
      <c r="M654">
        <v>4.5</v>
      </c>
    </row>
    <row r="655" spans="1:15" x14ac:dyDescent="0.25">
      <c r="A655" s="8" t="s">
        <v>142</v>
      </c>
      <c r="B655" s="1" t="s">
        <v>140</v>
      </c>
      <c r="C655" s="1">
        <v>2015</v>
      </c>
      <c r="D655" s="1">
        <v>4</v>
      </c>
      <c r="E655" s="1">
        <v>4</v>
      </c>
      <c r="F655" s="1">
        <v>4</v>
      </c>
      <c r="G655" s="1">
        <v>0</v>
      </c>
      <c r="H655" s="2">
        <f>32007/205693</f>
        <v>0.15560568419926785</v>
      </c>
      <c r="I655" s="2">
        <f>1974973/2139577</f>
        <v>0.92306703614779928</v>
      </c>
      <c r="J655" s="3">
        <v>182</v>
      </c>
      <c r="K655">
        <v>96.385542168674704</v>
      </c>
      <c r="L655">
        <v>85.542168674698786</v>
      </c>
      <c r="M655">
        <v>4.4000000000000004</v>
      </c>
    </row>
    <row r="656" spans="1:15" x14ac:dyDescent="0.25">
      <c r="A656" t="s">
        <v>142</v>
      </c>
      <c r="B656" s="1" t="s">
        <v>140</v>
      </c>
      <c r="C656" s="1">
        <v>2016</v>
      </c>
      <c r="D656" s="1">
        <v>4</v>
      </c>
      <c r="E656" s="1">
        <v>4</v>
      </c>
      <c r="F656" s="1">
        <v>4</v>
      </c>
      <c r="G656" s="1">
        <v>0</v>
      </c>
      <c r="H656" s="2">
        <f>103652/190476</f>
        <v>0.54417354417354413</v>
      </c>
      <c r="I656" s="2">
        <f>2177096/2281803</f>
        <v>0.95411216481002081</v>
      </c>
      <c r="J656" s="6">
        <v>166</v>
      </c>
      <c r="K656" s="7">
        <v>96.385542168674704</v>
      </c>
      <c r="L656" s="7">
        <v>85.542168674698786</v>
      </c>
      <c r="M656">
        <v>4.2</v>
      </c>
      <c r="O656" s="7"/>
    </row>
    <row r="657" spans="1:15" x14ac:dyDescent="0.25">
      <c r="A657" t="s">
        <v>142</v>
      </c>
      <c r="B657" s="1" t="s">
        <v>140</v>
      </c>
      <c r="C657" s="1">
        <v>2017</v>
      </c>
      <c r="D657" s="1">
        <v>4</v>
      </c>
      <c r="E657" s="1">
        <v>4</v>
      </c>
      <c r="F657" s="1">
        <v>4</v>
      </c>
      <c r="G657" s="1">
        <v>0</v>
      </c>
      <c r="H657" s="5">
        <f>41270/192248</f>
        <v>0.21467063376472056</v>
      </c>
      <c r="I657" s="2">
        <f>2008255/2239996</f>
        <v>0.89654401168573516</v>
      </c>
      <c r="J657" s="3">
        <v>175</v>
      </c>
      <c r="K657">
        <v>96.385542168674704</v>
      </c>
      <c r="L657">
        <v>85.542168674698786</v>
      </c>
      <c r="M657">
        <v>4.2</v>
      </c>
    </row>
    <row r="658" spans="1:15" x14ac:dyDescent="0.25">
      <c r="A658" s="8" t="s">
        <v>142</v>
      </c>
      <c r="B658" s="1" t="s">
        <v>140</v>
      </c>
      <c r="C658" s="1">
        <v>2018</v>
      </c>
      <c r="D658" s="1">
        <v>4</v>
      </c>
      <c r="E658" s="1">
        <v>4</v>
      </c>
      <c r="F658" s="1">
        <v>4</v>
      </c>
      <c r="G658" s="1">
        <v>0</v>
      </c>
      <c r="H658" s="2">
        <f>200788/187436</f>
        <v>1.0712349815403657</v>
      </c>
      <c r="I658" s="2">
        <f>2770938/2634323</f>
        <v>1.0518596238957789</v>
      </c>
      <c r="J658" s="3">
        <v>174</v>
      </c>
      <c r="K658">
        <v>96.385542168674704</v>
      </c>
      <c r="L658">
        <v>85.542168674698786</v>
      </c>
      <c r="M658">
        <v>4.2</v>
      </c>
    </row>
    <row r="659" spans="1:15" x14ac:dyDescent="0.25">
      <c r="A659" s="8" t="s">
        <v>143</v>
      </c>
      <c r="B659" s="1" t="s">
        <v>140</v>
      </c>
      <c r="C659" s="1">
        <v>2014</v>
      </c>
      <c r="D659" s="1">
        <v>5</v>
      </c>
      <c r="E659" s="1">
        <v>5</v>
      </c>
      <c r="F659" s="1">
        <v>5</v>
      </c>
      <c r="G659" s="1">
        <v>0</v>
      </c>
      <c r="H659" s="2">
        <f>2241014/3356801</f>
        <v>0.667604067086491</v>
      </c>
      <c r="I659" s="2">
        <f>20272488/27155905</f>
        <v>0.74652227572603458</v>
      </c>
      <c r="J659" s="3">
        <v>4316</v>
      </c>
      <c r="K659">
        <v>84.095860566448806</v>
      </c>
      <c r="L659">
        <v>78.131808278867098</v>
      </c>
      <c r="M659">
        <v>0</v>
      </c>
    </row>
    <row r="660" spans="1:15" x14ac:dyDescent="0.25">
      <c r="A660" s="8" t="s">
        <v>143</v>
      </c>
      <c r="B660" s="1" t="s">
        <v>140</v>
      </c>
      <c r="C660" s="1">
        <v>2015</v>
      </c>
      <c r="D660" s="1">
        <v>5</v>
      </c>
      <c r="E660" s="1">
        <v>5</v>
      </c>
      <c r="F660" s="1">
        <v>5</v>
      </c>
      <c r="G660" s="1">
        <v>0</v>
      </c>
      <c r="H660" s="2">
        <f>1937871/1396974</f>
        <v>1.3871918876085023</v>
      </c>
      <c r="I660" s="2">
        <f>28.49/26.97</f>
        <v>1.0563589173155357</v>
      </c>
      <c r="J660" s="3">
        <v>4259</v>
      </c>
      <c r="K660">
        <v>84.095860566448806</v>
      </c>
      <c r="L660">
        <v>78.131808278867098</v>
      </c>
      <c r="M660">
        <v>0</v>
      </c>
    </row>
    <row r="661" spans="1:15" x14ac:dyDescent="0.25">
      <c r="A661" t="s">
        <v>143</v>
      </c>
      <c r="B661" s="1" t="s">
        <v>140</v>
      </c>
      <c r="C661" s="1">
        <v>2016</v>
      </c>
      <c r="D661" s="1">
        <v>5</v>
      </c>
      <c r="E661" s="1">
        <v>5</v>
      </c>
      <c r="F661" s="1">
        <v>5</v>
      </c>
      <c r="G661" s="1">
        <v>0</v>
      </c>
      <c r="H661" s="2">
        <f>5183451/1731229</f>
        <v>2.9940874373060988</v>
      </c>
      <c r="I661" s="2">
        <f>36.21/32.16</f>
        <v>1.1259328358208958</v>
      </c>
      <c r="J661" s="6">
        <v>3672</v>
      </c>
      <c r="K661" s="7">
        <v>84.095860566448806</v>
      </c>
      <c r="L661" s="7">
        <v>78.131808278867098</v>
      </c>
      <c r="M661">
        <v>0</v>
      </c>
      <c r="O661" s="7"/>
    </row>
    <row r="662" spans="1:15" x14ac:dyDescent="0.25">
      <c r="A662" t="s">
        <v>143</v>
      </c>
      <c r="B662" s="1" t="s">
        <v>140</v>
      </c>
      <c r="C662" s="1">
        <v>2017</v>
      </c>
      <c r="D662" s="1">
        <v>5</v>
      </c>
      <c r="E662" s="1">
        <v>5</v>
      </c>
      <c r="F662" s="1">
        <v>5</v>
      </c>
      <c r="G662" s="1">
        <v>0</v>
      </c>
      <c r="H662" s="2">
        <f>2175756/2450334</f>
        <v>0.88794262333216611</v>
      </c>
      <c r="I662" s="2">
        <f>3789/3610</f>
        <v>1.0495844875346261</v>
      </c>
      <c r="J662" s="3">
        <v>4173</v>
      </c>
      <c r="K662">
        <v>84.095860566448806</v>
      </c>
      <c r="L662">
        <v>78.131808278867098</v>
      </c>
      <c r="M662">
        <v>0</v>
      </c>
    </row>
    <row r="663" spans="1:15" x14ac:dyDescent="0.25">
      <c r="A663" s="8" t="s">
        <v>143</v>
      </c>
      <c r="B663" s="1" t="s">
        <v>140</v>
      </c>
      <c r="C663" s="1">
        <v>2018</v>
      </c>
      <c r="D663" s="1">
        <v>5</v>
      </c>
      <c r="E663" s="1">
        <v>5</v>
      </c>
      <c r="F663" s="1">
        <v>5</v>
      </c>
      <c r="G663" s="1">
        <v>0</v>
      </c>
      <c r="H663" s="2">
        <f>1525351/2527257</f>
        <v>0.60355990704546469</v>
      </c>
      <c r="I663" s="2">
        <f>36915884/35163570</f>
        <v>1.0498332222809004</v>
      </c>
      <c r="J663" s="3">
        <v>4208</v>
      </c>
      <c r="K663">
        <v>84.095860566448806</v>
      </c>
      <c r="L663">
        <v>78.131808278867098</v>
      </c>
      <c r="M663">
        <v>0</v>
      </c>
    </row>
    <row r="664" spans="1:15" x14ac:dyDescent="0.25">
      <c r="A664" s="8" t="s">
        <v>144</v>
      </c>
      <c r="B664" s="1" t="s">
        <v>140</v>
      </c>
      <c r="C664" s="1">
        <v>2014</v>
      </c>
      <c r="D664" s="1">
        <v>4</v>
      </c>
      <c r="E664" s="1">
        <v>4</v>
      </c>
      <c r="F664" s="1">
        <v>4</v>
      </c>
      <c r="G664" s="1">
        <v>0</v>
      </c>
      <c r="H664" s="2">
        <f>918634/481264</f>
        <v>1.9087943415672064</v>
      </c>
      <c r="I664" s="2">
        <f>2125594/2560772</f>
        <v>0.83005984132909916</v>
      </c>
      <c r="J664" s="3">
        <v>1374</v>
      </c>
      <c r="K664">
        <v>24.355083459787558</v>
      </c>
      <c r="L664">
        <v>5.8421851289833082</v>
      </c>
      <c r="M664">
        <v>0.7</v>
      </c>
    </row>
    <row r="665" spans="1:15" x14ac:dyDescent="0.25">
      <c r="A665" s="8" t="s">
        <v>144</v>
      </c>
      <c r="B665" s="1" t="s">
        <v>140</v>
      </c>
      <c r="C665" s="1">
        <v>2015</v>
      </c>
      <c r="D665" s="1">
        <v>4</v>
      </c>
      <c r="E665" s="1">
        <v>4</v>
      </c>
      <c r="F665" s="1">
        <v>4</v>
      </c>
      <c r="G665" s="1">
        <v>0</v>
      </c>
      <c r="H665" s="2">
        <f>486274/494842</f>
        <v>0.98268538240488879</v>
      </c>
      <c r="I665" s="2">
        <f>3294583/3041711</f>
        <v>1.0831347882819899</v>
      </c>
      <c r="J665" s="3">
        <v>1396</v>
      </c>
      <c r="K665">
        <v>24.355083459787558</v>
      </c>
      <c r="L665">
        <v>5.8421851289833082</v>
      </c>
      <c r="M665">
        <v>0.7</v>
      </c>
    </row>
    <row r="666" spans="1:15" x14ac:dyDescent="0.25">
      <c r="A666" t="s">
        <v>144</v>
      </c>
      <c r="B666" s="1" t="s">
        <v>140</v>
      </c>
      <c r="C666" s="1">
        <v>2016</v>
      </c>
      <c r="D666" s="1">
        <v>4</v>
      </c>
      <c r="E666" s="1">
        <v>4</v>
      </c>
      <c r="F666" s="1">
        <v>4</v>
      </c>
      <c r="G666" s="1">
        <v>0</v>
      </c>
      <c r="H666" s="2">
        <f>727738/510000</f>
        <v>1.4269372549019608</v>
      </c>
      <c r="I666" s="2">
        <f>3669827/2505205</f>
        <v>1.464880917928872</v>
      </c>
      <c r="J666" s="6">
        <v>1318</v>
      </c>
      <c r="K666" s="7">
        <v>24.355083459787558</v>
      </c>
      <c r="L666" s="7">
        <v>5.8421851289833082</v>
      </c>
      <c r="M666">
        <v>0.7</v>
      </c>
      <c r="O666" s="7"/>
    </row>
    <row r="667" spans="1:15" x14ac:dyDescent="0.25">
      <c r="A667" t="s">
        <v>144</v>
      </c>
      <c r="B667" s="1" t="s">
        <v>140</v>
      </c>
      <c r="C667" s="1">
        <v>2017</v>
      </c>
      <c r="D667" s="1">
        <v>4</v>
      </c>
      <c r="E667" s="1">
        <v>4</v>
      </c>
      <c r="F667" s="1">
        <v>4</v>
      </c>
      <c r="G667" s="1">
        <v>0</v>
      </c>
      <c r="H667" s="5">
        <f>2701714/522242</f>
        <v>5.1732989686773561</v>
      </c>
      <c r="I667" s="2">
        <f>4619437/2567926</f>
        <v>1.7988980212046608</v>
      </c>
      <c r="J667" s="3">
        <v>1407</v>
      </c>
      <c r="K667">
        <v>24.355083459787558</v>
      </c>
      <c r="L667">
        <v>5.8421851289833082</v>
      </c>
      <c r="M667">
        <v>0.7</v>
      </c>
    </row>
    <row r="668" spans="1:15" x14ac:dyDescent="0.25">
      <c r="A668" s="8" t="s">
        <v>144</v>
      </c>
      <c r="B668" s="1" t="s">
        <v>140</v>
      </c>
      <c r="C668" s="1">
        <v>2018</v>
      </c>
      <c r="D668" s="1">
        <v>4</v>
      </c>
      <c r="E668" s="1">
        <v>4</v>
      </c>
      <c r="F668" s="1">
        <v>4</v>
      </c>
      <c r="G668" s="1">
        <v>0</v>
      </c>
      <c r="H668" s="2">
        <f>1945189/683138</f>
        <v>2.8474319976344455</v>
      </c>
      <c r="I668" s="2">
        <f>3932051/2970531</f>
        <v>1.3236862365684787</v>
      </c>
      <c r="J668" s="3">
        <v>1391</v>
      </c>
      <c r="K668">
        <v>24.355083459787558</v>
      </c>
      <c r="L668">
        <v>5.8421851289833082</v>
      </c>
      <c r="M668">
        <v>0.7</v>
      </c>
    </row>
    <row r="669" spans="1:15" x14ac:dyDescent="0.25">
      <c r="A669" s="8" t="s">
        <v>145</v>
      </c>
      <c r="B669" s="1" t="s">
        <v>140</v>
      </c>
      <c r="C669" s="1">
        <v>2014</v>
      </c>
      <c r="D669" s="1">
        <v>3</v>
      </c>
      <c r="E669" s="1">
        <v>3</v>
      </c>
      <c r="F669" s="1">
        <v>3</v>
      </c>
      <c r="G669" s="1">
        <v>0</v>
      </c>
      <c r="H669" s="2">
        <f>21758/16446</f>
        <v>1.3229964733065791</v>
      </c>
      <c r="I669" s="2">
        <f>103506/94477</f>
        <v>1.0955682335383214</v>
      </c>
      <c r="J669" s="3">
        <v>83098</v>
      </c>
      <c r="K669">
        <v>7.4</v>
      </c>
      <c r="L669">
        <v>26.8</v>
      </c>
      <c r="M669">
        <v>746.5</v>
      </c>
    </row>
    <row r="670" spans="1:15" x14ac:dyDescent="0.25">
      <c r="A670" s="8" t="s">
        <v>145</v>
      </c>
      <c r="B670" s="1" t="s">
        <v>140</v>
      </c>
      <c r="C670" s="1">
        <v>2015</v>
      </c>
      <c r="D670" s="1">
        <v>3</v>
      </c>
      <c r="E670" s="1">
        <v>3</v>
      </c>
      <c r="F670" s="1">
        <v>3</v>
      </c>
      <c r="G670" s="1">
        <v>0</v>
      </c>
      <c r="H670" s="2">
        <f>26358/22646</f>
        <v>1.1639141570255234</v>
      </c>
      <c r="I670" s="2">
        <f>110337/98551</f>
        <v>1.1195929011374821</v>
      </c>
      <c r="J670" s="3">
        <v>84363</v>
      </c>
      <c r="K670">
        <v>7.4</v>
      </c>
      <c r="L670">
        <v>26.8</v>
      </c>
      <c r="M670">
        <v>757.9</v>
      </c>
    </row>
    <row r="671" spans="1:15" x14ac:dyDescent="0.25">
      <c r="A671" t="s">
        <v>145</v>
      </c>
      <c r="B671" s="1" t="s">
        <v>140</v>
      </c>
      <c r="C671" s="1">
        <v>2016</v>
      </c>
      <c r="D671" s="1">
        <v>3</v>
      </c>
      <c r="E671" s="1">
        <v>3</v>
      </c>
      <c r="F671" s="1">
        <v>3</v>
      </c>
      <c r="G671" s="1">
        <v>0</v>
      </c>
      <c r="H671" s="2">
        <f>34272/21133</f>
        <v>1.6217290493540908</v>
      </c>
      <c r="I671" s="2">
        <f>118507/101766</f>
        <v>1.1645048444470649</v>
      </c>
      <c r="J671" s="6">
        <v>85323</v>
      </c>
      <c r="K671" s="11">
        <v>7.4</v>
      </c>
      <c r="L671" s="11">
        <v>26.8</v>
      </c>
      <c r="M671">
        <v>766.5</v>
      </c>
      <c r="O671" s="7"/>
    </row>
    <row r="672" spans="1:15" x14ac:dyDescent="0.25">
      <c r="A672" t="s">
        <v>145</v>
      </c>
      <c r="B672" s="1" t="s">
        <v>140</v>
      </c>
      <c r="C672" s="1">
        <v>2017</v>
      </c>
      <c r="D672" s="1">
        <v>3</v>
      </c>
      <c r="E672" s="1">
        <v>3</v>
      </c>
      <c r="F672" s="1">
        <v>3</v>
      </c>
      <c r="G672" s="1">
        <v>0</v>
      </c>
      <c r="H672" s="5">
        <f>50383/24351</f>
        <v>2.0690320726048212</v>
      </c>
      <c r="I672" s="5">
        <f>107386/109840</f>
        <v>0.9776584122359796</v>
      </c>
      <c r="J672" s="3">
        <v>85950</v>
      </c>
      <c r="K672">
        <v>7.4</v>
      </c>
      <c r="L672">
        <v>26.8</v>
      </c>
      <c r="M672">
        <v>772.1</v>
      </c>
    </row>
    <row r="673" spans="1:15" x14ac:dyDescent="0.25">
      <c r="A673" s="8" t="s">
        <v>145</v>
      </c>
      <c r="B673" s="1" t="s">
        <v>140</v>
      </c>
      <c r="C673" s="1">
        <v>2018</v>
      </c>
      <c r="D673" s="1">
        <v>3</v>
      </c>
      <c r="E673" s="1">
        <v>3</v>
      </c>
      <c r="F673" s="1">
        <v>3</v>
      </c>
      <c r="G673" s="1">
        <v>0</v>
      </c>
      <c r="H673" s="2">
        <f>(59005+15857)/30203</f>
        <v>2.4786279508658082</v>
      </c>
      <c r="I673" s="2">
        <f>168228/128339</f>
        <v>1.310809652560796</v>
      </c>
      <c r="J673" s="3">
        <v>84613</v>
      </c>
      <c r="K673">
        <v>7.4</v>
      </c>
      <c r="L673">
        <v>26.8</v>
      </c>
      <c r="M673">
        <v>760.1</v>
      </c>
    </row>
    <row r="674" spans="1:15" x14ac:dyDescent="0.25">
      <c r="A674" s="8" t="s">
        <v>146</v>
      </c>
      <c r="B674" s="1" t="s">
        <v>140</v>
      </c>
      <c r="C674" s="1">
        <v>2014</v>
      </c>
      <c r="D674" s="1">
        <v>5</v>
      </c>
      <c r="E674" s="1">
        <v>5</v>
      </c>
      <c r="F674" s="1">
        <v>5</v>
      </c>
      <c r="G674" s="1">
        <v>0</v>
      </c>
      <c r="H674" s="2">
        <f>2130134/1367182</f>
        <v>1.5580471363724799</v>
      </c>
      <c r="I674" s="2">
        <f>45315781/38800163</f>
        <v>1.1679275935000581</v>
      </c>
      <c r="J674" s="3">
        <v>10469</v>
      </c>
      <c r="K674">
        <v>93.485486372701089</v>
      </c>
      <c r="L674">
        <v>89.286505650343457</v>
      </c>
      <c r="M674">
        <v>0.3</v>
      </c>
    </row>
    <row r="675" spans="1:15" x14ac:dyDescent="0.25">
      <c r="A675" s="8" t="s">
        <v>146</v>
      </c>
      <c r="B675" s="1" t="s">
        <v>140</v>
      </c>
      <c r="C675" s="1">
        <v>2015</v>
      </c>
      <c r="D675" s="1">
        <v>5</v>
      </c>
      <c r="E675" s="1">
        <v>5</v>
      </c>
      <c r="F675" s="1">
        <v>5</v>
      </c>
      <c r="G675" s="1">
        <v>0</v>
      </c>
      <c r="H675" s="2">
        <f>387754/1321271</f>
        <v>0.29347045382817</v>
      </c>
      <c r="I675" s="2">
        <f>36.7/35.3</f>
        <v>1.0396600566572241</v>
      </c>
      <c r="J675" s="3">
        <v>10362</v>
      </c>
      <c r="K675">
        <v>93.485486372701089</v>
      </c>
      <c r="L675">
        <v>89.286505650343457</v>
      </c>
      <c r="M675">
        <v>0.3</v>
      </c>
    </row>
    <row r="676" spans="1:15" x14ac:dyDescent="0.25">
      <c r="A676" t="s">
        <v>146</v>
      </c>
      <c r="B676" s="1" t="s">
        <v>140</v>
      </c>
      <c r="C676" s="1">
        <v>2016</v>
      </c>
      <c r="D676" s="1">
        <v>5</v>
      </c>
      <c r="E676" s="1">
        <v>5</v>
      </c>
      <c r="F676" s="1">
        <v>5</v>
      </c>
      <c r="G676" s="1">
        <v>0</v>
      </c>
      <c r="H676" s="2">
        <f>686618/1085820</f>
        <v>0.63234974489326035</v>
      </c>
      <c r="I676" s="5">
        <f>46.9/36.3</f>
        <v>1.2920110192837466</v>
      </c>
      <c r="J676" s="6">
        <v>9026</v>
      </c>
      <c r="K676" s="7">
        <v>93.485486372701089</v>
      </c>
      <c r="L676" s="7">
        <v>89.286505650343457</v>
      </c>
      <c r="M676">
        <v>0.3</v>
      </c>
      <c r="O676" s="7"/>
    </row>
    <row r="677" spans="1:15" x14ac:dyDescent="0.25">
      <c r="A677" t="s">
        <v>146</v>
      </c>
      <c r="B677" s="1" t="s">
        <v>140</v>
      </c>
      <c r="C677" s="1">
        <v>2017</v>
      </c>
      <c r="D677" s="1">
        <v>5</v>
      </c>
      <c r="E677" s="1">
        <v>5</v>
      </c>
      <c r="F677" s="1">
        <v>5</v>
      </c>
      <c r="G677" s="1">
        <v>0</v>
      </c>
      <c r="H677" s="2">
        <f>1531882/(1085820)</f>
        <v>1.4108065793593783</v>
      </c>
      <c r="I677" s="2">
        <f>1/0.943</f>
        <v>1.0604453870625663</v>
      </c>
      <c r="J677" s="3">
        <v>10267</v>
      </c>
      <c r="K677">
        <v>93.485486372701089</v>
      </c>
      <c r="L677">
        <v>89.286505650343457</v>
      </c>
      <c r="M677">
        <v>0.3</v>
      </c>
    </row>
    <row r="678" spans="1:15" x14ac:dyDescent="0.25">
      <c r="A678" s="8" t="s">
        <v>146</v>
      </c>
      <c r="B678" s="1" t="s">
        <v>140</v>
      </c>
      <c r="C678" s="1">
        <v>2018</v>
      </c>
      <c r="D678" s="1">
        <v>5</v>
      </c>
      <c r="E678" s="1">
        <v>5</v>
      </c>
      <c r="F678" s="1">
        <v>5</v>
      </c>
      <c r="G678" s="1">
        <v>0</v>
      </c>
      <c r="H678" s="2">
        <f>3591618/1221790</f>
        <v>2.939636107678079</v>
      </c>
      <c r="I678" s="2">
        <f>1/0.967</f>
        <v>1.0341261633919339</v>
      </c>
      <c r="J678" s="3">
        <v>10345</v>
      </c>
      <c r="K678">
        <v>93.485486372701089</v>
      </c>
      <c r="L678">
        <v>89.286505650343457</v>
      </c>
      <c r="M678">
        <v>0.3</v>
      </c>
    </row>
    <row r="679" spans="1:15" x14ac:dyDescent="0.25">
      <c r="A679" s="8" t="s">
        <v>147</v>
      </c>
      <c r="B679" s="1" t="s">
        <v>140</v>
      </c>
      <c r="C679" s="1">
        <v>2014</v>
      </c>
      <c r="D679" s="1">
        <v>4</v>
      </c>
      <c r="E679" s="1">
        <v>4</v>
      </c>
      <c r="F679" s="1">
        <v>4</v>
      </c>
      <c r="G679" s="1">
        <v>0</v>
      </c>
      <c r="J679" s="3">
        <v>10744</v>
      </c>
      <c r="K679">
        <v>22.059882703981891</v>
      </c>
      <c r="L679">
        <v>14.48708714888363</v>
      </c>
      <c r="M679">
        <v>1.4</v>
      </c>
    </row>
    <row r="680" spans="1:15" x14ac:dyDescent="0.25">
      <c r="A680" s="8" t="s">
        <v>147</v>
      </c>
      <c r="B680" s="1" t="s">
        <v>140</v>
      </c>
      <c r="C680" s="1">
        <v>2015</v>
      </c>
      <c r="D680" s="1">
        <v>4</v>
      </c>
      <c r="E680" s="1">
        <v>4</v>
      </c>
      <c r="F680" s="1">
        <v>4</v>
      </c>
      <c r="G680" s="1">
        <v>0</v>
      </c>
      <c r="H680" s="2">
        <f>(278512+579208)/3645821</f>
        <v>0.23526113871196638</v>
      </c>
      <c r="I680" s="2">
        <f>9121593/10792707</f>
        <v>0.84516266401005791</v>
      </c>
      <c r="J680" s="3">
        <v>10671</v>
      </c>
      <c r="K680">
        <v>22.059882703981891</v>
      </c>
      <c r="L680">
        <v>14.48708714888363</v>
      </c>
      <c r="M680">
        <v>1.4</v>
      </c>
    </row>
    <row r="681" spans="1:15" x14ac:dyDescent="0.25">
      <c r="A681" t="s">
        <v>147</v>
      </c>
      <c r="B681" s="1" t="s">
        <v>140</v>
      </c>
      <c r="C681" s="1">
        <v>2016</v>
      </c>
      <c r="D681" s="1">
        <v>4</v>
      </c>
      <c r="E681" s="1">
        <v>4</v>
      </c>
      <c r="F681" s="1">
        <v>4</v>
      </c>
      <c r="G681" s="1">
        <v>0</v>
      </c>
      <c r="J681" s="6">
        <v>9719</v>
      </c>
      <c r="K681" s="7">
        <v>22.059882703981891</v>
      </c>
      <c r="L681" s="7">
        <v>14.48708714888363</v>
      </c>
      <c r="M681">
        <v>1.4</v>
      </c>
      <c r="O681" s="7"/>
    </row>
    <row r="682" spans="1:15" x14ac:dyDescent="0.25">
      <c r="A682" t="s">
        <v>147</v>
      </c>
      <c r="B682" s="1" t="s">
        <v>140</v>
      </c>
      <c r="C682" s="1">
        <v>2017</v>
      </c>
      <c r="D682" s="1">
        <v>4</v>
      </c>
      <c r="E682" s="1">
        <v>4</v>
      </c>
      <c r="F682" s="1">
        <v>4</v>
      </c>
      <c r="G682" s="1">
        <v>0</v>
      </c>
      <c r="H682" s="5">
        <f>(1493751+1293522)/81256</f>
        <v>34.302365363788518</v>
      </c>
      <c r="I682" s="2">
        <f>11808834/9121006</f>
        <v>1.2946854765801052</v>
      </c>
      <c r="J682" s="3">
        <v>10573</v>
      </c>
      <c r="K682">
        <v>22.059882703981891</v>
      </c>
      <c r="L682">
        <v>14.48708714888363</v>
      </c>
      <c r="M682">
        <v>1.4</v>
      </c>
    </row>
    <row r="683" spans="1:15" x14ac:dyDescent="0.25">
      <c r="A683" s="8" t="s">
        <v>147</v>
      </c>
      <c r="B683" s="1" t="s">
        <v>140</v>
      </c>
      <c r="C683" s="1">
        <v>2018</v>
      </c>
      <c r="D683" s="1">
        <v>4</v>
      </c>
      <c r="E683" s="1">
        <v>4</v>
      </c>
      <c r="F683" s="1">
        <v>4</v>
      </c>
      <c r="G683" s="1">
        <v>0</v>
      </c>
      <c r="H683" s="2">
        <f>(1335539+921769)/164132</f>
        <v>13.753003679964907</v>
      </c>
      <c r="I683" s="2">
        <f>12052126/9583149</f>
        <v>1.2576373382068879</v>
      </c>
      <c r="J683" s="3">
        <v>10621</v>
      </c>
      <c r="K683">
        <v>22.059882703981891</v>
      </c>
      <c r="L683">
        <v>14.48708714888363</v>
      </c>
      <c r="M683">
        <v>1.4</v>
      </c>
    </row>
    <row r="684" spans="1:15" x14ac:dyDescent="0.25">
      <c r="A684" s="8" t="s">
        <v>148</v>
      </c>
      <c r="B684" s="1" t="s">
        <v>140</v>
      </c>
      <c r="C684" s="1">
        <v>2014</v>
      </c>
      <c r="D684" s="1">
        <v>3</v>
      </c>
      <c r="E684" s="1">
        <v>3</v>
      </c>
      <c r="F684" s="1">
        <v>3</v>
      </c>
      <c r="G684" s="1">
        <v>0</v>
      </c>
      <c r="H684" s="2">
        <f>2566672/4527510</f>
        <v>0.56690587099752399</v>
      </c>
      <c r="I684" s="2">
        <f>14666887/16301580</f>
        <v>0.89972180610713803</v>
      </c>
      <c r="J684" s="3">
        <v>23256</v>
      </c>
      <c r="K684">
        <v>9.6785010688686768</v>
      </c>
      <c r="L684">
        <v>5.8934484637632556</v>
      </c>
      <c r="M684">
        <v>8</v>
      </c>
    </row>
    <row r="685" spans="1:15" x14ac:dyDescent="0.25">
      <c r="A685" s="8" t="s">
        <v>148</v>
      </c>
      <c r="B685" s="1" t="s">
        <v>140</v>
      </c>
      <c r="C685" s="1">
        <v>2015</v>
      </c>
      <c r="D685" s="1">
        <v>3</v>
      </c>
      <c r="E685" s="1">
        <v>3</v>
      </c>
      <c r="F685" s="1">
        <v>3</v>
      </c>
      <c r="G685" s="1">
        <v>0</v>
      </c>
      <c r="H685" s="2">
        <f>5425438/8857992</f>
        <v>0.61249073153373812</v>
      </c>
      <c r="I685" s="2">
        <f>15268974/21337960</f>
        <v>0.71557796527878015</v>
      </c>
      <c r="J685" s="3">
        <v>24757</v>
      </c>
      <c r="K685">
        <v>9.6785010688686768</v>
      </c>
      <c r="L685">
        <v>5.8934484637632556</v>
      </c>
      <c r="M685">
        <v>8.5</v>
      </c>
    </row>
    <row r="686" spans="1:15" x14ac:dyDescent="0.25">
      <c r="A686" t="s">
        <v>148</v>
      </c>
      <c r="B686" s="1" t="s">
        <v>140</v>
      </c>
      <c r="C686" s="1">
        <v>2016</v>
      </c>
      <c r="D686" s="1">
        <v>3</v>
      </c>
      <c r="E686" s="1">
        <v>3</v>
      </c>
      <c r="F686" s="1">
        <v>3</v>
      </c>
      <c r="G686" s="1">
        <v>0</v>
      </c>
      <c r="H686" s="2">
        <f>10322990/16787411</f>
        <v>0.61492448120797183</v>
      </c>
      <c r="I686" s="5">
        <f>22936415/29872184</f>
        <v>0.76781848290704158</v>
      </c>
      <c r="J686" s="6">
        <v>23857</v>
      </c>
      <c r="K686" s="7">
        <v>9.6785010688686768</v>
      </c>
      <c r="L686" s="7">
        <v>5.8934484637632556</v>
      </c>
      <c r="M686">
        <v>8.6999999999999993</v>
      </c>
      <c r="O686" s="7"/>
    </row>
    <row r="687" spans="1:15" x14ac:dyDescent="0.25">
      <c r="A687" t="s">
        <v>148</v>
      </c>
      <c r="B687" s="1" t="s">
        <v>140</v>
      </c>
      <c r="C687" s="1">
        <v>2017</v>
      </c>
      <c r="D687" s="1">
        <v>3</v>
      </c>
      <c r="E687" s="1">
        <v>3</v>
      </c>
      <c r="F687" s="1">
        <v>3</v>
      </c>
      <c r="G687" s="1">
        <v>0</v>
      </c>
      <c r="H687" s="5">
        <f>(887074+4981954)/16749678</f>
        <v>0.35039646732313301</v>
      </c>
      <c r="I687" s="2">
        <f>19784053/29779829</f>
        <v>0.66434407665671957</v>
      </c>
      <c r="J687" s="3">
        <v>25547</v>
      </c>
      <c r="K687">
        <v>9.6785010688686768</v>
      </c>
      <c r="L687">
        <v>5.8934484637632556</v>
      </c>
      <c r="M687">
        <v>8.8000000000000007</v>
      </c>
    </row>
    <row r="688" spans="1:15" x14ac:dyDescent="0.25">
      <c r="A688" s="8" t="s">
        <v>148</v>
      </c>
      <c r="B688" s="1" t="s">
        <v>140</v>
      </c>
      <c r="C688" s="1">
        <v>2018</v>
      </c>
      <c r="D688" s="1">
        <v>3</v>
      </c>
      <c r="E688" s="1">
        <v>3</v>
      </c>
      <c r="F688" s="1">
        <v>3</v>
      </c>
      <c r="G688" s="1">
        <v>0</v>
      </c>
      <c r="H688" s="2">
        <f>(1476077+4866953)/16615287</f>
        <v>0.38175867801741853</v>
      </c>
      <c r="I688" s="2">
        <f>17723648/30228098</f>
        <v>0.58633024148591817</v>
      </c>
      <c r="J688" s="3">
        <v>25598</v>
      </c>
      <c r="K688">
        <v>9.6785010688686768</v>
      </c>
      <c r="L688">
        <v>5.8934484637632556</v>
      </c>
      <c r="M688">
        <v>8.8000000000000007</v>
      </c>
    </row>
    <row r="689" spans="1:15" x14ac:dyDescent="0.25">
      <c r="A689" s="8" t="s">
        <v>149</v>
      </c>
      <c r="B689" s="1" t="s">
        <v>140</v>
      </c>
      <c r="C689" s="1">
        <v>2014</v>
      </c>
      <c r="D689" s="1">
        <v>4</v>
      </c>
      <c r="E689" s="1">
        <v>5</v>
      </c>
      <c r="F689" s="1">
        <v>4.5</v>
      </c>
      <c r="G689" s="1">
        <v>1</v>
      </c>
      <c r="H689" s="2">
        <f>2093212/1677473</f>
        <v>1.2478364778449489</v>
      </c>
      <c r="I689" s="2">
        <f>32960344/31404896</f>
        <v>1.0495288377965015</v>
      </c>
      <c r="J689" s="3">
        <v>6875</v>
      </c>
      <c r="K689">
        <v>82.158845962526954</v>
      </c>
      <c r="L689">
        <v>60.139280384679161</v>
      </c>
      <c r="M689">
        <v>0</v>
      </c>
    </row>
    <row r="690" spans="1:15" x14ac:dyDescent="0.25">
      <c r="A690" s="8" t="s">
        <v>149</v>
      </c>
      <c r="B690" s="1" t="s">
        <v>140</v>
      </c>
      <c r="C690" s="1">
        <v>2015</v>
      </c>
      <c r="D690" s="1">
        <v>4</v>
      </c>
      <c r="E690" s="1">
        <v>5</v>
      </c>
      <c r="F690" s="1">
        <v>4.5</v>
      </c>
      <c r="G690" s="1">
        <v>1</v>
      </c>
      <c r="H690" s="2">
        <f>1861361/1735265</f>
        <v>1.0726667108481989</v>
      </c>
      <c r="I690" s="2">
        <f>33420448/32607298</f>
        <v>1.0249376688617375</v>
      </c>
      <c r="J690" s="3">
        <v>6859</v>
      </c>
      <c r="K690">
        <v>82.158845962526954</v>
      </c>
      <c r="L690">
        <v>60.139280384679161</v>
      </c>
      <c r="M690">
        <v>0</v>
      </c>
    </row>
    <row r="691" spans="1:15" x14ac:dyDescent="0.25">
      <c r="A691" t="s">
        <v>149</v>
      </c>
      <c r="B691" s="1" t="s">
        <v>140</v>
      </c>
      <c r="C691" s="1">
        <v>2016</v>
      </c>
      <c r="D691" s="1">
        <v>4</v>
      </c>
      <c r="E691" s="1">
        <v>5</v>
      </c>
      <c r="F691" s="1">
        <v>4.5</v>
      </c>
      <c r="G691" s="1">
        <v>1</v>
      </c>
      <c r="H691" s="2">
        <f>1772309/1862206</f>
        <v>0.95172553412458127</v>
      </c>
      <c r="I691" s="2">
        <f>45840726/41591186</f>
        <v>1.1021740519734158</v>
      </c>
      <c r="J691" s="6">
        <v>6031</v>
      </c>
      <c r="K691" s="7">
        <v>82.158845962526954</v>
      </c>
      <c r="L691" s="7">
        <v>60.139280384679161</v>
      </c>
      <c r="M691">
        <v>0</v>
      </c>
      <c r="O691" s="7"/>
    </row>
    <row r="692" spans="1:15" x14ac:dyDescent="0.25">
      <c r="A692" t="s">
        <v>149</v>
      </c>
      <c r="B692" s="1" t="s">
        <v>140</v>
      </c>
      <c r="C692" s="1">
        <v>2017</v>
      </c>
      <c r="D692" s="1">
        <v>4</v>
      </c>
      <c r="E692" s="1">
        <v>5</v>
      </c>
      <c r="F692" s="1">
        <v>4.5</v>
      </c>
      <c r="G692" s="1">
        <v>1</v>
      </c>
      <c r="H692" s="2">
        <f>2388785/1941702</f>
        <v>1.2302531490414079</v>
      </c>
      <c r="I692" s="2">
        <f>38038780/32451874</f>
        <v>1.1721597341343062</v>
      </c>
      <c r="J692" s="3">
        <v>6766</v>
      </c>
      <c r="K692">
        <v>82.158845962526954</v>
      </c>
      <c r="L692">
        <v>60.139280384679161</v>
      </c>
      <c r="M692">
        <v>0</v>
      </c>
    </row>
    <row r="693" spans="1:15" x14ac:dyDescent="0.25">
      <c r="A693" s="8" t="s">
        <v>149</v>
      </c>
      <c r="B693" s="1" t="s">
        <v>140</v>
      </c>
      <c r="C693" s="1">
        <v>2018</v>
      </c>
      <c r="D693" s="1">
        <v>4</v>
      </c>
      <c r="E693" s="1">
        <v>5</v>
      </c>
      <c r="F693" s="1">
        <v>4.5</v>
      </c>
      <c r="G693" s="1">
        <v>1</v>
      </c>
      <c r="H693" s="2">
        <f>2905605/2138385</f>
        <v>1.3587847838438822</v>
      </c>
      <c r="I693" s="2">
        <f>37771339/37902844</f>
        <v>0.99653047143375306</v>
      </c>
      <c r="J693" s="3">
        <v>6863</v>
      </c>
      <c r="K693">
        <v>82.158845962526954</v>
      </c>
      <c r="L693">
        <v>60.139280384679161</v>
      </c>
      <c r="M693">
        <v>0</v>
      </c>
    </row>
    <row r="694" spans="1:15" x14ac:dyDescent="0.25">
      <c r="A694" s="8" t="s">
        <v>150</v>
      </c>
      <c r="B694" s="1" t="s">
        <v>140</v>
      </c>
      <c r="C694" s="1">
        <v>2014</v>
      </c>
      <c r="D694" s="1">
        <v>3</v>
      </c>
      <c r="E694" s="1">
        <v>3</v>
      </c>
      <c r="F694" s="1">
        <v>3</v>
      </c>
      <c r="G694" s="1">
        <v>0</v>
      </c>
      <c r="H694" s="2">
        <f>(2001675+713213)/6851839</f>
        <v>0.39622764049184461</v>
      </c>
      <c r="I694" s="2">
        <f>25143296/29725239</f>
        <v>0.84585681548262737</v>
      </c>
      <c r="J694" s="3">
        <v>34001</v>
      </c>
      <c r="K694">
        <v>11.273900432131652</v>
      </c>
      <c r="L694">
        <v>14.988456757236726</v>
      </c>
      <c r="M694">
        <v>645.70000000000005</v>
      </c>
    </row>
    <row r="695" spans="1:15" x14ac:dyDescent="0.25">
      <c r="A695" s="8" t="s">
        <v>150</v>
      </c>
      <c r="B695" s="1" t="s">
        <v>140</v>
      </c>
      <c r="C695" s="1">
        <v>2015</v>
      </c>
      <c r="D695" s="1">
        <v>3</v>
      </c>
      <c r="E695" s="1">
        <v>3</v>
      </c>
      <c r="F695" s="1">
        <v>3</v>
      </c>
      <c r="G695" s="1">
        <v>0</v>
      </c>
      <c r="H695" s="2">
        <f>(9153647+899503)/8053755</f>
        <v>1.2482562481724364</v>
      </c>
      <c r="I695" s="2">
        <f>27382911/32907966</f>
        <v>0.83210584938613341</v>
      </c>
      <c r="J695" s="3">
        <v>35224</v>
      </c>
      <c r="K695">
        <v>11.273900432131652</v>
      </c>
      <c r="L695">
        <v>14.988456757236726</v>
      </c>
      <c r="M695">
        <v>668.9</v>
      </c>
    </row>
    <row r="696" spans="1:15" x14ac:dyDescent="0.25">
      <c r="A696" t="s">
        <v>150</v>
      </c>
      <c r="B696" s="1" t="s">
        <v>140</v>
      </c>
      <c r="C696" s="1">
        <v>2016</v>
      </c>
      <c r="D696" s="1">
        <v>3</v>
      </c>
      <c r="E696" s="1">
        <v>3</v>
      </c>
      <c r="F696" s="1">
        <v>3</v>
      </c>
      <c r="G696" s="1">
        <v>0</v>
      </c>
      <c r="H696" s="2">
        <f>(19553879+988233)/8949659</f>
        <v>2.2952954967334511</v>
      </c>
      <c r="I696" s="2">
        <f>31009653/43228685</f>
        <v>0.71733972476840324</v>
      </c>
      <c r="J696" s="6">
        <v>33786</v>
      </c>
      <c r="K696" s="7">
        <v>11.273900432131652</v>
      </c>
      <c r="L696" s="7">
        <v>14.988456757236726</v>
      </c>
      <c r="M696">
        <v>683.3</v>
      </c>
      <c r="O696" s="7"/>
    </row>
    <row r="697" spans="1:15" x14ac:dyDescent="0.25">
      <c r="A697" t="s">
        <v>150</v>
      </c>
      <c r="B697" s="1" t="s">
        <v>140</v>
      </c>
      <c r="C697" s="1">
        <v>2017</v>
      </c>
      <c r="D697" s="1">
        <v>3</v>
      </c>
      <c r="E697" s="1">
        <v>3</v>
      </c>
      <c r="F697" s="1">
        <v>3</v>
      </c>
      <c r="G697" s="1">
        <v>0</v>
      </c>
      <c r="H697" s="5">
        <f>(23492271+7400118)/9540471</f>
        <v>3.2380360466480114</v>
      </c>
      <c r="I697" s="2">
        <f>38775260/35746081</f>
        <v>1.084741569292589</v>
      </c>
      <c r="J697" s="3">
        <v>36931</v>
      </c>
      <c r="K697">
        <v>11.273900432131652</v>
      </c>
      <c r="L697">
        <v>14.988456757236726</v>
      </c>
      <c r="M697">
        <v>701.4</v>
      </c>
    </row>
    <row r="698" spans="1:15" x14ac:dyDescent="0.25">
      <c r="A698" s="8" t="s">
        <v>150</v>
      </c>
      <c r="B698" s="1" t="s">
        <v>140</v>
      </c>
      <c r="C698" s="1">
        <v>2018</v>
      </c>
      <c r="D698" s="1">
        <v>3</v>
      </c>
      <c r="E698" s="1">
        <v>3</v>
      </c>
      <c r="F698" s="1">
        <v>3</v>
      </c>
      <c r="G698" s="1">
        <v>0</v>
      </c>
      <c r="H698" s="2">
        <f>(47970+1755)/9401</f>
        <v>5.289330922242315</v>
      </c>
      <c r="I698" s="2">
        <f>36267/41366</f>
        <v>0.87673451626940002</v>
      </c>
      <c r="J698" s="3">
        <v>37862</v>
      </c>
      <c r="K698">
        <v>11.273900432131652</v>
      </c>
      <c r="L698">
        <v>14.988456757236726</v>
      </c>
      <c r="M698">
        <v>719</v>
      </c>
    </row>
    <row r="699" spans="1:15" x14ac:dyDescent="0.25">
      <c r="A699" s="8" t="s">
        <v>151</v>
      </c>
      <c r="B699" s="1" t="s">
        <v>140</v>
      </c>
      <c r="C699" s="1">
        <v>2014</v>
      </c>
      <c r="D699" s="1">
        <v>5</v>
      </c>
      <c r="E699" s="1">
        <v>5</v>
      </c>
      <c r="F699" s="1">
        <v>5</v>
      </c>
      <c r="G699" s="1">
        <v>0</v>
      </c>
      <c r="H699" s="2">
        <f>1822382/3898830</f>
        <v>0.46741766119579464</v>
      </c>
      <c r="I699" s="2">
        <f>33771400/37038436</f>
        <v>0.91179335974121589</v>
      </c>
      <c r="J699" s="3">
        <v>7272</v>
      </c>
      <c r="K699">
        <v>79.643296432964334</v>
      </c>
      <c r="L699">
        <v>63.499384993849937</v>
      </c>
      <c r="M699">
        <v>0</v>
      </c>
    </row>
    <row r="700" spans="1:15" x14ac:dyDescent="0.25">
      <c r="A700" s="8" t="s">
        <v>151</v>
      </c>
      <c r="B700" s="1" t="s">
        <v>140</v>
      </c>
      <c r="C700" s="1">
        <v>2015</v>
      </c>
      <c r="D700" s="1">
        <v>5</v>
      </c>
      <c r="E700" s="1">
        <v>5</v>
      </c>
      <c r="F700" s="1">
        <v>5</v>
      </c>
      <c r="G700" s="1">
        <v>0</v>
      </c>
      <c r="H700" s="2">
        <f>1290509/3636140</f>
        <v>0.35491180207582768</v>
      </c>
      <c r="I700" s="2">
        <f>38349026/39297022</f>
        <v>0.97587613636473525</v>
      </c>
      <c r="J700" s="3">
        <v>7335</v>
      </c>
      <c r="K700">
        <v>79.643296432964334</v>
      </c>
      <c r="L700">
        <v>63.499384993849937</v>
      </c>
      <c r="M700">
        <v>0</v>
      </c>
    </row>
    <row r="701" spans="1:15" x14ac:dyDescent="0.25">
      <c r="A701" t="s">
        <v>151</v>
      </c>
      <c r="B701" s="1" t="s">
        <v>140</v>
      </c>
      <c r="C701" s="1">
        <v>2016</v>
      </c>
      <c r="D701" s="1">
        <v>5</v>
      </c>
      <c r="E701" s="1">
        <v>5</v>
      </c>
      <c r="F701" s="1">
        <v>5</v>
      </c>
      <c r="G701" s="1">
        <v>0</v>
      </c>
      <c r="H701" s="2">
        <f>6137168/4494953</f>
        <v>1.3653464229770589</v>
      </c>
      <c r="I701" s="2">
        <f>39598/38627</f>
        <v>1.0251378569394465</v>
      </c>
      <c r="J701" s="6">
        <v>6504</v>
      </c>
      <c r="K701" s="7">
        <v>79.643296432964334</v>
      </c>
      <c r="L701" s="7">
        <v>63.499384993849937</v>
      </c>
      <c r="M701">
        <v>0</v>
      </c>
      <c r="O701" s="7"/>
    </row>
    <row r="702" spans="1:15" x14ac:dyDescent="0.25">
      <c r="A702" t="s">
        <v>151</v>
      </c>
      <c r="B702" s="1" t="s">
        <v>140</v>
      </c>
      <c r="C702" s="1">
        <v>2017</v>
      </c>
      <c r="D702" s="1">
        <v>5</v>
      </c>
      <c r="E702" s="1">
        <v>5</v>
      </c>
      <c r="F702" s="1">
        <v>5</v>
      </c>
      <c r="G702" s="1">
        <v>0</v>
      </c>
      <c r="H702" s="5">
        <f>1181590/4357504</f>
        <v>0.27116211482536789</v>
      </c>
      <c r="I702" s="5">
        <f>40323/34637</f>
        <v>1.1641597136010624</v>
      </c>
      <c r="J702" s="3">
        <v>7356</v>
      </c>
      <c r="K702">
        <v>79.643296432964334</v>
      </c>
      <c r="L702">
        <v>63.499384993849937</v>
      </c>
      <c r="M702">
        <v>0</v>
      </c>
    </row>
    <row r="703" spans="1:15" x14ac:dyDescent="0.25">
      <c r="A703" s="8" t="s">
        <v>151</v>
      </c>
      <c r="B703" s="1" t="s">
        <v>140</v>
      </c>
      <c r="C703" s="1">
        <v>2018</v>
      </c>
      <c r="D703" s="1">
        <v>5</v>
      </c>
      <c r="E703" s="1">
        <v>5</v>
      </c>
      <c r="F703" s="1">
        <v>5</v>
      </c>
      <c r="G703" s="1">
        <v>0</v>
      </c>
      <c r="H703" s="2">
        <f>6513431/4149813</f>
        <v>1.5695721710833717</v>
      </c>
      <c r="I703" s="2">
        <f>45421/38446</f>
        <v>1.1814232950111845</v>
      </c>
      <c r="J703" s="3">
        <v>7397</v>
      </c>
      <c r="K703">
        <v>79.643296432964334</v>
      </c>
      <c r="L703">
        <v>63.499384993849937</v>
      </c>
      <c r="M703">
        <v>0</v>
      </c>
    </row>
    <row r="704" spans="1:15" x14ac:dyDescent="0.25">
      <c r="A704" s="8" t="s">
        <v>152</v>
      </c>
      <c r="B704" s="1" t="s">
        <v>140</v>
      </c>
      <c r="C704" s="1">
        <v>2014</v>
      </c>
      <c r="D704" s="1">
        <v>5</v>
      </c>
      <c r="E704" s="1">
        <v>5</v>
      </c>
      <c r="F704" s="1">
        <v>5</v>
      </c>
      <c r="G704" s="1">
        <v>0</v>
      </c>
      <c r="H704" s="2">
        <f>(926062+31663+189990+61738+20429)/(327177+331427+88466+294203+1595758)</f>
        <v>0.4663889047948242</v>
      </c>
      <c r="I704" s="2">
        <f>14093544/15101000</f>
        <v>0.93328547778292825</v>
      </c>
      <c r="J704" s="3">
        <v>2902</v>
      </c>
      <c r="K704">
        <v>89.274061990212076</v>
      </c>
      <c r="L704">
        <v>84.257748776508961</v>
      </c>
      <c r="M704">
        <v>0.4</v>
      </c>
    </row>
    <row r="705" spans="1:15" x14ac:dyDescent="0.25">
      <c r="A705" s="8" t="s">
        <v>152</v>
      </c>
      <c r="B705" s="1" t="s">
        <v>140</v>
      </c>
      <c r="C705" s="1">
        <v>2015</v>
      </c>
      <c r="D705" s="1">
        <v>5</v>
      </c>
      <c r="E705" s="1">
        <v>5</v>
      </c>
      <c r="F705" s="1">
        <v>5</v>
      </c>
      <c r="G705" s="1">
        <v>0</v>
      </c>
      <c r="H705" s="2">
        <f>(20490+17460+47419)/(321402+314268+101021+291116+1600981)</f>
        <v>3.247466132681677E-2</v>
      </c>
      <c r="I705" s="2">
        <f>11449984/22329258</f>
        <v>0.512779421510558</v>
      </c>
      <c r="J705" s="3">
        <v>2848</v>
      </c>
      <c r="K705">
        <v>89.274061990212076</v>
      </c>
      <c r="L705">
        <v>84.257748776508961</v>
      </c>
      <c r="M705">
        <v>0.4</v>
      </c>
    </row>
    <row r="706" spans="1:15" x14ac:dyDescent="0.25">
      <c r="A706" t="s">
        <v>152</v>
      </c>
      <c r="B706" s="1" t="s">
        <v>140</v>
      </c>
      <c r="C706" s="1">
        <v>2016</v>
      </c>
      <c r="D706" s="1">
        <v>5</v>
      </c>
      <c r="E706" s="1">
        <v>5</v>
      </c>
      <c r="F706" s="1">
        <v>5</v>
      </c>
      <c r="G706" s="1">
        <v>0</v>
      </c>
      <c r="H706" s="2">
        <f>(254189+81191+239124+7186)/(1306353+290406+76717+226563+246718)</f>
        <v>0.2709622001931285</v>
      </c>
      <c r="I706" s="2">
        <f>13218662/13526811</f>
        <v>0.97721939043873685</v>
      </c>
      <c r="J706" s="6">
        <v>2452</v>
      </c>
      <c r="K706" s="7">
        <v>89.274061990212076</v>
      </c>
      <c r="L706" s="7">
        <v>84.257748776508961</v>
      </c>
      <c r="M706">
        <v>0.4</v>
      </c>
      <c r="O706" s="7"/>
    </row>
    <row r="707" spans="1:15" x14ac:dyDescent="0.25">
      <c r="A707" t="s">
        <v>152</v>
      </c>
      <c r="B707" s="1" t="s">
        <v>140</v>
      </c>
      <c r="C707" s="1">
        <v>2017</v>
      </c>
      <c r="D707" s="1">
        <v>5</v>
      </c>
      <c r="E707" s="1">
        <v>5</v>
      </c>
      <c r="F707" s="1">
        <v>5</v>
      </c>
      <c r="G707" s="1">
        <v>0</v>
      </c>
      <c r="H707" s="5">
        <f>(160437+75738+193085+54283)/(1306353+286875+66337+166857+241742)</f>
        <v>0.23380302529199812</v>
      </c>
      <c r="I707" s="2">
        <f>13384635/15756430</f>
        <v>0.84947129521090758</v>
      </c>
      <c r="J707" s="3">
        <v>2762</v>
      </c>
      <c r="K707">
        <v>89.274061990212076</v>
      </c>
      <c r="L707">
        <v>84.257748776508961</v>
      </c>
      <c r="M707">
        <v>0.4</v>
      </c>
    </row>
    <row r="708" spans="1:15" x14ac:dyDescent="0.25">
      <c r="A708" s="8" t="s">
        <v>152</v>
      </c>
      <c r="B708" s="1" t="s">
        <v>140</v>
      </c>
      <c r="C708" s="1">
        <v>2018</v>
      </c>
      <c r="D708" s="1">
        <v>5</v>
      </c>
      <c r="E708" s="1">
        <v>5</v>
      </c>
      <c r="F708" s="1">
        <v>5</v>
      </c>
      <c r="G708" s="1">
        <v>0</v>
      </c>
      <c r="H708" s="2">
        <f>(739+180681+221282+6185)/(1306866+241788+285701+75077+129981)</f>
        <v>0.20049249465409899</v>
      </c>
      <c r="I708" s="2">
        <f>15010177/16478494</f>
        <v>0.91089495192946635</v>
      </c>
      <c r="J708" s="3">
        <v>2753</v>
      </c>
      <c r="K708">
        <v>89.274061990212076</v>
      </c>
      <c r="L708">
        <v>84.257748776508961</v>
      </c>
      <c r="M708">
        <v>0.4</v>
      </c>
    </row>
    <row r="709" spans="1:15" x14ac:dyDescent="0.25">
      <c r="A709" s="8" t="s">
        <v>153</v>
      </c>
      <c r="B709" s="1" t="s">
        <v>140</v>
      </c>
      <c r="C709" s="1">
        <v>2014</v>
      </c>
      <c r="D709" s="1">
        <v>4</v>
      </c>
      <c r="E709" s="1">
        <v>5</v>
      </c>
      <c r="F709" s="1">
        <v>4.5</v>
      </c>
      <c r="G709" s="1">
        <v>1</v>
      </c>
      <c r="H709" s="2">
        <f>1044424/7764977</f>
        <v>0.13450445506792871</v>
      </c>
      <c r="I709" s="2">
        <f>33342653/38034076</f>
        <v>0.8766521105968238</v>
      </c>
      <c r="J709" s="3">
        <v>3269</v>
      </c>
      <c r="K709">
        <v>64.760213143872107</v>
      </c>
      <c r="L709">
        <v>47.673179396092365</v>
      </c>
      <c r="M709">
        <v>0</v>
      </c>
    </row>
    <row r="710" spans="1:15" x14ac:dyDescent="0.25">
      <c r="A710" s="8" t="s">
        <v>153</v>
      </c>
      <c r="B710" s="1" t="s">
        <v>140</v>
      </c>
      <c r="C710" s="1">
        <v>2015</v>
      </c>
      <c r="D710" s="1">
        <v>4</v>
      </c>
      <c r="E710" s="1">
        <v>5</v>
      </c>
      <c r="F710" s="1">
        <v>4.5</v>
      </c>
      <c r="G710" s="1">
        <v>1</v>
      </c>
      <c r="H710" s="2">
        <f>131573/4916228</f>
        <v>2.67629979732429E-2</v>
      </c>
      <c r="I710" s="2">
        <f>23441400/29376155</f>
        <v>0.79797373073501277</v>
      </c>
      <c r="J710" s="3">
        <v>3217</v>
      </c>
      <c r="K710">
        <v>64.760213143872107</v>
      </c>
      <c r="L710">
        <v>47.673179396092365</v>
      </c>
      <c r="M710">
        <v>0</v>
      </c>
    </row>
    <row r="711" spans="1:15" x14ac:dyDescent="0.25">
      <c r="A711" t="s">
        <v>153</v>
      </c>
      <c r="B711" s="1" t="s">
        <v>140</v>
      </c>
      <c r="C711" s="1">
        <v>2016</v>
      </c>
      <c r="D711" s="1">
        <v>4</v>
      </c>
      <c r="E711" s="1">
        <v>5</v>
      </c>
      <c r="F711" s="1">
        <v>4.5</v>
      </c>
      <c r="G711" s="1">
        <v>1</v>
      </c>
      <c r="H711" s="5">
        <v>0.22</v>
      </c>
      <c r="I711" s="2">
        <f>1/0.968</f>
        <v>1.0330578512396695</v>
      </c>
      <c r="J711" s="6">
        <v>2815</v>
      </c>
      <c r="K711" s="7">
        <v>64.760213143872107</v>
      </c>
      <c r="L711" s="7">
        <v>47.673179396092365</v>
      </c>
      <c r="M711">
        <v>0</v>
      </c>
      <c r="O711" s="7"/>
    </row>
    <row r="712" spans="1:15" x14ac:dyDescent="0.25">
      <c r="A712" t="s">
        <v>153</v>
      </c>
      <c r="B712" s="1" t="s">
        <v>140</v>
      </c>
      <c r="C712" s="1">
        <v>2017</v>
      </c>
      <c r="D712" s="1">
        <v>4</v>
      </c>
      <c r="E712" s="1">
        <v>5</v>
      </c>
      <c r="F712" s="1">
        <v>4.5</v>
      </c>
      <c r="G712" s="1">
        <v>1</v>
      </c>
      <c r="H712" s="5">
        <v>0.7</v>
      </c>
      <c r="I712" s="2">
        <f>1/0.899</f>
        <v>1.1123470522803114</v>
      </c>
      <c r="J712" s="3">
        <v>3139</v>
      </c>
      <c r="K712">
        <v>64.760213143872107</v>
      </c>
      <c r="L712">
        <v>47.673179396092365</v>
      </c>
      <c r="M712">
        <v>0</v>
      </c>
    </row>
    <row r="713" spans="1:15" x14ac:dyDescent="0.25">
      <c r="A713" s="8" t="s">
        <v>153</v>
      </c>
      <c r="B713" s="1" t="s">
        <v>140</v>
      </c>
      <c r="C713" s="1">
        <v>2018</v>
      </c>
      <c r="D713" s="1">
        <v>4</v>
      </c>
      <c r="E713" s="1">
        <v>5</v>
      </c>
      <c r="F713" s="1">
        <v>4.5</v>
      </c>
      <c r="G713" s="1">
        <v>1</v>
      </c>
      <c r="H713" s="5">
        <v>0.41</v>
      </c>
      <c r="I713" s="5">
        <v>1</v>
      </c>
      <c r="J713" s="3">
        <v>3138</v>
      </c>
      <c r="K713">
        <v>64.760213143872107</v>
      </c>
      <c r="L713">
        <v>47.673179396092365</v>
      </c>
      <c r="M713">
        <v>0</v>
      </c>
    </row>
    <row r="714" spans="1:15" x14ac:dyDescent="0.25">
      <c r="A714" s="8" t="s">
        <v>154</v>
      </c>
      <c r="B714" s="1" t="s">
        <v>140</v>
      </c>
      <c r="C714" s="1">
        <v>2014</v>
      </c>
      <c r="D714" s="1">
        <v>4</v>
      </c>
      <c r="E714" s="1">
        <v>4</v>
      </c>
      <c r="F714" s="1">
        <v>4</v>
      </c>
      <c r="G714" s="1">
        <v>0</v>
      </c>
      <c r="H714" s="2">
        <f>65281/157464</f>
        <v>0.41457730020830158</v>
      </c>
      <c r="I714" s="2">
        <f>653626/617440</f>
        <v>1.0586065042757191</v>
      </c>
      <c r="J714" s="3">
        <v>467</v>
      </c>
      <c r="K714">
        <v>8.9130434782608692</v>
      </c>
      <c r="L714">
        <v>3.9130434782608701</v>
      </c>
      <c r="M714">
        <v>82.8</v>
      </c>
    </row>
    <row r="715" spans="1:15" x14ac:dyDescent="0.25">
      <c r="A715" s="8" t="s">
        <v>154</v>
      </c>
      <c r="B715" s="1" t="s">
        <v>140</v>
      </c>
      <c r="C715" s="1">
        <v>2015</v>
      </c>
      <c r="D715" s="1">
        <v>4</v>
      </c>
      <c r="E715" s="1">
        <v>4</v>
      </c>
      <c r="F715" s="1">
        <v>4</v>
      </c>
      <c r="G715" s="1">
        <v>0</v>
      </c>
      <c r="H715" s="2">
        <f>192577/272087</f>
        <v>0.70777729182210103</v>
      </c>
      <c r="I715" s="2">
        <f>633762/841384</f>
        <v>0.75323752293839674</v>
      </c>
      <c r="J715" s="3">
        <v>479</v>
      </c>
      <c r="K715">
        <v>8.9130434782608692</v>
      </c>
      <c r="L715">
        <v>3.9130434782608701</v>
      </c>
      <c r="M715">
        <v>85</v>
      </c>
    </row>
    <row r="716" spans="1:15" x14ac:dyDescent="0.25">
      <c r="A716" t="s">
        <v>154</v>
      </c>
      <c r="B716" s="1" t="s">
        <v>140</v>
      </c>
      <c r="C716" s="1">
        <v>2016</v>
      </c>
      <c r="D716" s="1">
        <v>4</v>
      </c>
      <c r="E716" s="1">
        <v>4</v>
      </c>
      <c r="F716" s="1">
        <v>4</v>
      </c>
      <c r="G716" s="1">
        <v>0</v>
      </c>
      <c r="H716" s="2">
        <f>47551/154915</f>
        <v>0.30694897201691251</v>
      </c>
      <c r="I716" s="2">
        <f>753758/844084</f>
        <v>0.89298932333748771</v>
      </c>
      <c r="J716" s="6">
        <v>460</v>
      </c>
      <c r="K716" s="7">
        <v>8.9130434782608692</v>
      </c>
      <c r="L716" s="7">
        <v>3.9130434782608701</v>
      </c>
      <c r="M716">
        <v>87.3</v>
      </c>
      <c r="O716" s="7"/>
    </row>
    <row r="717" spans="1:15" x14ac:dyDescent="0.25">
      <c r="A717" t="s">
        <v>154</v>
      </c>
      <c r="B717" s="1" t="s">
        <v>140</v>
      </c>
      <c r="C717" s="1">
        <v>2017</v>
      </c>
      <c r="D717" s="1">
        <v>4</v>
      </c>
      <c r="E717" s="1">
        <v>4</v>
      </c>
      <c r="F717" s="1">
        <v>4</v>
      </c>
      <c r="G717" s="1">
        <v>0</v>
      </c>
      <c r="H717" s="5">
        <f>55559/96509</f>
        <v>0.57568724160440998</v>
      </c>
      <c r="I717" s="2">
        <f>797054/689509</f>
        <v>1.1559733085427457</v>
      </c>
      <c r="J717" s="3">
        <v>496</v>
      </c>
      <c r="K717">
        <v>8.9130434782608692</v>
      </c>
      <c r="L717">
        <v>3.9130434782608701</v>
      </c>
      <c r="M717">
        <v>88</v>
      </c>
    </row>
    <row r="718" spans="1:15" x14ac:dyDescent="0.25">
      <c r="A718" s="8" t="s">
        <v>154</v>
      </c>
      <c r="B718" s="1" t="s">
        <v>140</v>
      </c>
      <c r="C718" s="1">
        <v>2018</v>
      </c>
      <c r="D718" s="1">
        <v>4</v>
      </c>
      <c r="E718" s="1">
        <v>4</v>
      </c>
      <c r="F718" s="1">
        <v>4</v>
      </c>
      <c r="G718" s="1">
        <v>0</v>
      </c>
      <c r="H718" s="12">
        <f>129244/95525</f>
        <v>1.3529861292855274</v>
      </c>
      <c r="I718" s="2">
        <f>923601/803035</f>
        <v>1.1501379142876711</v>
      </c>
      <c r="J718" s="3">
        <v>508</v>
      </c>
      <c r="K718">
        <v>8.9130434782608692</v>
      </c>
      <c r="L718">
        <v>3.9130434782608701</v>
      </c>
      <c r="M718">
        <v>90.1</v>
      </c>
    </row>
    <row r="719" spans="1:15" x14ac:dyDescent="0.25">
      <c r="A719" s="8" t="s">
        <v>155</v>
      </c>
      <c r="B719" s="1" t="s">
        <v>140</v>
      </c>
      <c r="C719" s="1">
        <v>2014</v>
      </c>
      <c r="D719" s="1">
        <v>4</v>
      </c>
      <c r="E719" s="1">
        <v>5</v>
      </c>
      <c r="F719" s="1">
        <v>4.5</v>
      </c>
      <c r="G719" s="1">
        <v>1</v>
      </c>
      <c r="H719" s="2">
        <f>1398178/4084962</f>
        <v>0.34227442017820486</v>
      </c>
      <c r="I719" s="2">
        <f>26623914/24738393</f>
        <v>1.0762184107916792</v>
      </c>
      <c r="J719" s="3">
        <v>7157</v>
      </c>
      <c r="K719">
        <v>77.390180878552968</v>
      </c>
      <c r="L719">
        <v>68.636950904392762</v>
      </c>
      <c r="M719">
        <v>0.1</v>
      </c>
    </row>
    <row r="720" spans="1:15" x14ac:dyDescent="0.25">
      <c r="A720" s="8" t="s">
        <v>155</v>
      </c>
      <c r="B720" s="1" t="s">
        <v>140</v>
      </c>
      <c r="C720" s="1">
        <v>2015</v>
      </c>
      <c r="D720" s="1">
        <v>4</v>
      </c>
      <c r="E720" s="1">
        <v>5</v>
      </c>
      <c r="F720" s="1">
        <v>4.5</v>
      </c>
      <c r="G720" s="1">
        <v>1</v>
      </c>
      <c r="H720" s="2">
        <f>1749746/3808626</f>
        <v>0.45941659800673523</v>
      </c>
      <c r="I720" s="5">
        <f>21079166/19422097</f>
        <v>1.0853187480219051</v>
      </c>
      <c r="J720" s="3">
        <v>7060</v>
      </c>
      <c r="K720">
        <v>77.390180878552968</v>
      </c>
      <c r="L720">
        <v>68.636950904392762</v>
      </c>
      <c r="M720">
        <v>0.1</v>
      </c>
    </row>
    <row r="721" spans="1:15" x14ac:dyDescent="0.25">
      <c r="A721" t="s">
        <v>155</v>
      </c>
      <c r="B721" s="1" t="s">
        <v>140</v>
      </c>
      <c r="C721" s="1">
        <v>2016</v>
      </c>
      <c r="D721" s="1">
        <v>4</v>
      </c>
      <c r="E721" s="1">
        <v>5</v>
      </c>
      <c r="F721" s="1">
        <v>4.5</v>
      </c>
      <c r="G721" s="1">
        <v>1</v>
      </c>
      <c r="H721" s="2">
        <f>4327108/6751228</f>
        <v>0.64093643408280687</v>
      </c>
      <c r="I721" s="2">
        <f>25156682/22610882</f>
        <v>1.1125918042471763</v>
      </c>
      <c r="J721" s="6">
        <v>6192</v>
      </c>
      <c r="K721" s="7">
        <v>77.390180878552968</v>
      </c>
      <c r="L721" s="7">
        <v>68.636950904392762</v>
      </c>
      <c r="M721">
        <v>0.1</v>
      </c>
      <c r="O721" s="7"/>
    </row>
    <row r="722" spans="1:15" x14ac:dyDescent="0.25">
      <c r="A722" t="s">
        <v>155</v>
      </c>
      <c r="B722" s="1" t="s">
        <v>140</v>
      </c>
      <c r="C722" s="1">
        <v>2017</v>
      </c>
      <c r="D722" s="1">
        <v>4</v>
      </c>
      <c r="E722" s="1">
        <v>5</v>
      </c>
      <c r="F722" s="1">
        <v>4.5</v>
      </c>
      <c r="G722" s="1">
        <v>1</v>
      </c>
      <c r="H722" s="5">
        <f>7171912/6538862</f>
        <v>1.0968134822236653</v>
      </c>
      <c r="I722" s="2">
        <f>25152091/19396480</f>
        <v>1.2967348199260897</v>
      </c>
      <c r="J722" s="3">
        <v>6932</v>
      </c>
      <c r="K722">
        <v>77.390180878552968</v>
      </c>
      <c r="L722">
        <v>68.636950904392762</v>
      </c>
      <c r="M722">
        <v>0.1</v>
      </c>
    </row>
    <row r="723" spans="1:15" x14ac:dyDescent="0.25">
      <c r="A723" s="8" t="s">
        <v>155</v>
      </c>
      <c r="B723" s="1" t="s">
        <v>140</v>
      </c>
      <c r="C723" s="1">
        <v>2018</v>
      </c>
      <c r="D723" s="1">
        <v>4</v>
      </c>
      <c r="E723" s="1">
        <v>5</v>
      </c>
      <c r="F723" s="1">
        <v>4.5</v>
      </c>
      <c r="G723" s="1">
        <v>1</v>
      </c>
      <c r="H723" s="2">
        <f>3890041/6519319</f>
        <v>0.59669437866132946</v>
      </c>
      <c r="I723" s="2">
        <f>23377731/20147596</f>
        <v>1.1603235939414309</v>
      </c>
      <c r="J723" s="3">
        <v>6902</v>
      </c>
      <c r="K723">
        <v>77.390180878552968</v>
      </c>
      <c r="L723">
        <v>68.636950904392762</v>
      </c>
      <c r="M723">
        <v>0.1</v>
      </c>
    </row>
    <row r="724" spans="1:15" x14ac:dyDescent="0.25">
      <c r="A724" s="8" t="s">
        <v>156</v>
      </c>
      <c r="B724" s="1" t="s">
        <v>140</v>
      </c>
      <c r="C724" s="1">
        <v>2014</v>
      </c>
      <c r="D724" s="1">
        <v>5</v>
      </c>
      <c r="E724" s="1">
        <v>5</v>
      </c>
      <c r="F724" s="1">
        <v>5</v>
      </c>
      <c r="G724" s="1">
        <v>0</v>
      </c>
      <c r="I724" s="2">
        <f>100000/57843</f>
        <v>1.728817661601231</v>
      </c>
      <c r="J724" s="3">
        <v>3587</v>
      </c>
      <c r="K724">
        <v>90.748342279760024</v>
      </c>
      <c r="L724">
        <v>80.296810862014524</v>
      </c>
      <c r="M724">
        <v>0.3</v>
      </c>
    </row>
    <row r="725" spans="1:15" x14ac:dyDescent="0.25">
      <c r="A725" s="8" t="s">
        <v>156</v>
      </c>
      <c r="B725" s="1" t="s">
        <v>140</v>
      </c>
      <c r="C725" s="1">
        <v>2015</v>
      </c>
      <c r="D725" s="1">
        <v>5</v>
      </c>
      <c r="E725" s="1">
        <v>5</v>
      </c>
      <c r="F725" s="1">
        <v>5</v>
      </c>
      <c r="G725" s="1">
        <v>0</v>
      </c>
      <c r="H725" s="2">
        <f>1282197/2735233</f>
        <v>0.4687706678005128</v>
      </c>
      <c r="I725" s="2">
        <f>14829744/13261717</f>
        <v>1.1182371030840124</v>
      </c>
      <c r="J725" s="3">
        <v>3598</v>
      </c>
      <c r="K725">
        <v>90.748342279760024</v>
      </c>
      <c r="L725">
        <v>80.296810862014524</v>
      </c>
      <c r="M725">
        <v>0.3</v>
      </c>
    </row>
    <row r="726" spans="1:15" x14ac:dyDescent="0.25">
      <c r="A726" t="s">
        <v>156</v>
      </c>
      <c r="B726" s="1" t="s">
        <v>140</v>
      </c>
      <c r="C726" s="1">
        <v>2016</v>
      </c>
      <c r="D726" s="1">
        <v>5</v>
      </c>
      <c r="E726" s="1">
        <v>5</v>
      </c>
      <c r="F726" s="1">
        <v>5</v>
      </c>
      <c r="G726" s="1">
        <v>0</v>
      </c>
      <c r="H726" s="2">
        <f>1038002/2411132</f>
        <v>0.43050401222330426</v>
      </c>
      <c r="I726" s="2">
        <f>14045110/12957982</f>
        <v>1.0838963968309263</v>
      </c>
      <c r="J726" s="6">
        <v>3167</v>
      </c>
      <c r="K726" s="7">
        <v>90.748342279760024</v>
      </c>
      <c r="L726" s="7">
        <v>80.296810862014524</v>
      </c>
      <c r="M726">
        <v>0.3</v>
      </c>
      <c r="O726" s="7"/>
    </row>
    <row r="727" spans="1:15" x14ac:dyDescent="0.25">
      <c r="A727" t="s">
        <v>156</v>
      </c>
      <c r="B727" s="1" t="s">
        <v>140</v>
      </c>
      <c r="C727" s="1">
        <v>2017</v>
      </c>
      <c r="D727" s="1">
        <v>5</v>
      </c>
      <c r="E727" s="1">
        <v>5</v>
      </c>
      <c r="F727" s="1">
        <v>5</v>
      </c>
      <c r="G727" s="1">
        <v>0</v>
      </c>
      <c r="H727" s="5">
        <f>514622/2382202</f>
        <v>0.21602785993799015</v>
      </c>
      <c r="I727" s="2">
        <f>14924455/16993477</f>
        <v>0.87824610584402474</v>
      </c>
      <c r="J727" s="3">
        <v>3617</v>
      </c>
      <c r="K727">
        <v>90.748342279760024</v>
      </c>
      <c r="L727">
        <v>80.296810862014524</v>
      </c>
      <c r="M727">
        <v>0.3</v>
      </c>
    </row>
    <row r="728" spans="1:15" x14ac:dyDescent="0.25">
      <c r="A728" s="8" t="s">
        <v>156</v>
      </c>
      <c r="B728" s="1" t="s">
        <v>140</v>
      </c>
      <c r="C728" s="1">
        <v>2018</v>
      </c>
      <c r="D728" s="1">
        <v>5</v>
      </c>
      <c r="E728" s="1">
        <v>5</v>
      </c>
      <c r="F728" s="1">
        <v>5</v>
      </c>
      <c r="G728" s="1">
        <v>0</v>
      </c>
      <c r="H728" s="2">
        <f>642269/1924190</f>
        <v>0.33378668426714619</v>
      </c>
      <c r="I728" s="2">
        <f>13202319/15882404</f>
        <v>0.83125444989310182</v>
      </c>
      <c r="J728" s="3">
        <v>3649</v>
      </c>
      <c r="K728">
        <v>90.748342279760024</v>
      </c>
      <c r="L728">
        <v>80.296810862014524</v>
      </c>
      <c r="M728">
        <v>0.3</v>
      </c>
    </row>
    <row r="729" spans="1:15" x14ac:dyDescent="0.25">
      <c r="A729" s="8" t="s">
        <v>157</v>
      </c>
      <c r="B729" s="1" t="s">
        <v>158</v>
      </c>
      <c r="C729" s="1">
        <v>2014</v>
      </c>
      <c r="D729" s="1">
        <v>5</v>
      </c>
      <c r="E729" s="1">
        <v>5</v>
      </c>
      <c r="F729" s="1">
        <v>5</v>
      </c>
      <c r="G729" s="1">
        <v>0</v>
      </c>
      <c r="H729" s="5">
        <v>3.8723000000000001</v>
      </c>
      <c r="I729" s="2">
        <f>1/1.0255</f>
        <v>0.97513408093612863</v>
      </c>
      <c r="J729" s="3">
        <v>1332</v>
      </c>
      <c r="K729">
        <v>90.7</v>
      </c>
      <c r="L729">
        <v>87.6</v>
      </c>
      <c r="M729">
        <v>0.2</v>
      </c>
    </row>
    <row r="730" spans="1:15" x14ac:dyDescent="0.25">
      <c r="A730" s="8" t="s">
        <v>157</v>
      </c>
      <c r="B730" s="1" t="s">
        <v>158</v>
      </c>
      <c r="C730" s="1">
        <v>2015</v>
      </c>
      <c r="D730" s="1">
        <v>5</v>
      </c>
      <c r="E730" s="1">
        <v>5</v>
      </c>
      <c r="F730" s="1">
        <v>5</v>
      </c>
      <c r="G730" s="1">
        <v>0</v>
      </c>
      <c r="H730" s="2">
        <v>2.12</v>
      </c>
      <c r="I730" s="2">
        <v>0.85719183953368761</v>
      </c>
      <c r="J730" s="3">
        <v>1321</v>
      </c>
      <c r="K730">
        <v>90.7</v>
      </c>
      <c r="L730">
        <v>87.6</v>
      </c>
      <c r="M730">
        <v>0.2</v>
      </c>
    </row>
    <row r="731" spans="1:15" x14ac:dyDescent="0.25">
      <c r="A731" t="s">
        <v>157</v>
      </c>
      <c r="B731" s="1" t="s">
        <v>158</v>
      </c>
      <c r="C731" s="1">
        <v>2016</v>
      </c>
      <c r="D731" s="1">
        <v>5</v>
      </c>
      <c r="E731" s="1">
        <v>5</v>
      </c>
      <c r="F731" s="1">
        <v>5</v>
      </c>
      <c r="G731" s="1">
        <v>0</v>
      </c>
      <c r="H731" s="5">
        <v>0</v>
      </c>
      <c r="I731" s="2">
        <v>0.92919531685560297</v>
      </c>
      <c r="J731" s="3">
        <v>1323</v>
      </c>
      <c r="K731" s="11">
        <v>90.7</v>
      </c>
      <c r="L731" s="11">
        <v>87.6</v>
      </c>
      <c r="M731">
        <v>0.2</v>
      </c>
      <c r="O731" s="7"/>
    </row>
    <row r="732" spans="1:15" x14ac:dyDescent="0.25">
      <c r="A732" t="s">
        <v>157</v>
      </c>
      <c r="B732" s="1" t="s">
        <v>158</v>
      </c>
      <c r="C732" s="1">
        <v>2017</v>
      </c>
      <c r="D732" s="1">
        <v>5</v>
      </c>
      <c r="E732" s="1">
        <v>5</v>
      </c>
      <c r="F732" s="1">
        <v>5</v>
      </c>
      <c r="G732" s="1">
        <v>0</v>
      </c>
      <c r="H732" s="5">
        <v>0</v>
      </c>
      <c r="I732" s="2">
        <v>0.83759108803082338</v>
      </c>
      <c r="J732" s="3">
        <v>1343</v>
      </c>
      <c r="K732">
        <v>90.7</v>
      </c>
      <c r="L732">
        <v>87.6</v>
      </c>
      <c r="M732">
        <v>0.2</v>
      </c>
    </row>
    <row r="733" spans="1:15" x14ac:dyDescent="0.25">
      <c r="A733" s="8" t="s">
        <v>157</v>
      </c>
      <c r="B733" s="1" t="s">
        <v>158</v>
      </c>
      <c r="C733" s="1">
        <v>2018</v>
      </c>
      <c r="D733" s="1">
        <v>5</v>
      </c>
      <c r="E733" s="1">
        <v>5</v>
      </c>
      <c r="F733" s="1">
        <v>5</v>
      </c>
      <c r="G733" s="1">
        <v>0</v>
      </c>
      <c r="H733" s="2">
        <v>0.56000000000000005</v>
      </c>
      <c r="I733" s="2">
        <v>0.78622533218020285</v>
      </c>
      <c r="J733" s="3">
        <v>1382</v>
      </c>
      <c r="K733">
        <v>90.7</v>
      </c>
      <c r="L733">
        <v>87.6</v>
      </c>
      <c r="M733">
        <v>0.2</v>
      </c>
    </row>
    <row r="734" spans="1:15" x14ac:dyDescent="0.25">
      <c r="A734" s="8" t="s">
        <v>159</v>
      </c>
      <c r="B734" s="1" t="s">
        <v>158</v>
      </c>
      <c r="C734" s="1">
        <v>2014</v>
      </c>
      <c r="D734" s="1">
        <v>4</v>
      </c>
      <c r="E734" s="1">
        <v>5</v>
      </c>
      <c r="F734" s="1">
        <v>4.5</v>
      </c>
      <c r="G734" s="1">
        <v>1</v>
      </c>
      <c r="H734" s="5">
        <v>4.7728999999999999</v>
      </c>
      <c r="I734" s="2">
        <f>1/1.0084</f>
        <v>0.99166997223324083</v>
      </c>
      <c r="J734" s="3">
        <v>4726</v>
      </c>
      <c r="K734">
        <v>15.783462768387391</v>
      </c>
      <c r="L734">
        <v>2.855185015989036</v>
      </c>
      <c r="M734">
        <v>0.2</v>
      </c>
    </row>
    <row r="735" spans="1:15" x14ac:dyDescent="0.25">
      <c r="A735" s="8" t="s">
        <v>159</v>
      </c>
      <c r="B735" s="1" t="s">
        <v>158</v>
      </c>
      <c r="C735" s="1">
        <v>2015</v>
      </c>
      <c r="D735" s="1">
        <v>4</v>
      </c>
      <c r="E735" s="1">
        <v>5</v>
      </c>
      <c r="F735" s="1">
        <v>4.5</v>
      </c>
      <c r="G735" s="1">
        <v>1</v>
      </c>
      <c r="H735" s="2">
        <v>0.97709999999999997</v>
      </c>
      <c r="I735" s="2">
        <v>0.97770825185764576</v>
      </c>
      <c r="J735" s="3">
        <v>4610</v>
      </c>
      <c r="K735">
        <v>15.783462768387391</v>
      </c>
      <c r="L735">
        <v>2.855185015989036</v>
      </c>
      <c r="M735">
        <v>0.1</v>
      </c>
    </row>
    <row r="736" spans="1:15" x14ac:dyDescent="0.25">
      <c r="A736" t="s">
        <v>159</v>
      </c>
      <c r="B736" s="1" t="s">
        <v>158</v>
      </c>
      <c r="C736" s="1">
        <v>2016</v>
      </c>
      <c r="D736" s="1">
        <v>4</v>
      </c>
      <c r="E736" s="1">
        <v>5</v>
      </c>
      <c r="F736" s="1">
        <v>4.5</v>
      </c>
      <c r="G736" s="1">
        <v>1</v>
      </c>
      <c r="H736" s="2">
        <v>0.52569999999999995</v>
      </c>
      <c r="I736" s="2">
        <v>0.88167871627578898</v>
      </c>
      <c r="J736" s="6">
        <v>4378</v>
      </c>
      <c r="K736" s="7">
        <v>15.783462768387391</v>
      </c>
      <c r="L736" s="7">
        <v>2.855185015989036</v>
      </c>
      <c r="M736">
        <v>0.1</v>
      </c>
      <c r="O736" s="7"/>
    </row>
    <row r="737" spans="1:15" x14ac:dyDescent="0.25">
      <c r="A737" t="s">
        <v>159</v>
      </c>
      <c r="B737" s="1" t="s">
        <v>158</v>
      </c>
      <c r="C737" s="1">
        <v>2017</v>
      </c>
      <c r="D737" s="1">
        <v>4</v>
      </c>
      <c r="E737" s="1">
        <v>5</v>
      </c>
      <c r="F737" s="1">
        <v>4.5</v>
      </c>
      <c r="G737" s="1">
        <v>1</v>
      </c>
      <c r="H737" s="5">
        <v>0.31680000000000003</v>
      </c>
      <c r="I737" s="2">
        <v>0.98921752893461279</v>
      </c>
      <c r="J737" s="3">
        <v>4373</v>
      </c>
      <c r="K737">
        <v>15.783462768387391</v>
      </c>
      <c r="L737">
        <v>2.855185015989036</v>
      </c>
      <c r="M737">
        <v>0.1</v>
      </c>
    </row>
    <row r="738" spans="1:15" x14ac:dyDescent="0.25">
      <c r="A738" s="8" t="s">
        <v>159</v>
      </c>
      <c r="B738" s="1" t="s">
        <v>158</v>
      </c>
      <c r="C738" s="1">
        <v>2018</v>
      </c>
      <c r="D738" s="1">
        <v>4</v>
      </c>
      <c r="E738" s="1">
        <v>5</v>
      </c>
      <c r="F738" s="1">
        <v>4.5</v>
      </c>
      <c r="G738" s="1">
        <v>1</v>
      </c>
      <c r="H738" s="2">
        <v>0.28320000000000001</v>
      </c>
      <c r="I738" s="2">
        <v>0.87404947120007004</v>
      </c>
      <c r="J738" s="3">
        <v>4334</v>
      </c>
      <c r="K738">
        <v>15.783462768387391</v>
      </c>
      <c r="L738">
        <v>2.855185015989036</v>
      </c>
      <c r="M738">
        <v>0.1</v>
      </c>
    </row>
    <row r="739" spans="1:15" x14ac:dyDescent="0.25">
      <c r="A739" s="8" t="s">
        <v>160</v>
      </c>
      <c r="B739" s="1" t="s">
        <v>158</v>
      </c>
      <c r="C739" s="1">
        <v>2014</v>
      </c>
      <c r="D739" s="1">
        <v>3</v>
      </c>
      <c r="E739" s="1">
        <v>4</v>
      </c>
      <c r="F739" s="1">
        <v>3.5</v>
      </c>
      <c r="G739" s="1">
        <v>1</v>
      </c>
      <c r="H739" s="5">
        <v>1.2914000000000001</v>
      </c>
      <c r="I739" s="2">
        <f>1/1.011</f>
        <v>0.98911968348170143</v>
      </c>
      <c r="J739" s="3">
        <v>14860</v>
      </c>
      <c r="K739">
        <v>4.0167656304575621</v>
      </c>
      <c r="L739">
        <v>4.9179182675515198</v>
      </c>
      <c r="M739">
        <v>0.5</v>
      </c>
    </row>
    <row r="740" spans="1:15" x14ac:dyDescent="0.25">
      <c r="A740" s="8" t="s">
        <v>160</v>
      </c>
      <c r="B740" s="1" t="s">
        <v>158</v>
      </c>
      <c r="C740" s="1">
        <v>2015</v>
      </c>
      <c r="D740" s="1">
        <v>3</v>
      </c>
      <c r="E740" s="1">
        <v>4</v>
      </c>
      <c r="F740" s="1">
        <v>3.5</v>
      </c>
      <c r="G740" s="1">
        <v>1</v>
      </c>
      <c r="H740" s="2">
        <v>1.6688000000000001</v>
      </c>
      <c r="I740" s="2">
        <v>0.96432015429122475</v>
      </c>
      <c r="J740" s="3">
        <v>14707</v>
      </c>
      <c r="K740">
        <v>4.0167656304575621</v>
      </c>
      <c r="L740">
        <v>4.9179182675515198</v>
      </c>
      <c r="M740">
        <v>0.5</v>
      </c>
    </row>
    <row r="741" spans="1:15" x14ac:dyDescent="0.25">
      <c r="A741" t="s">
        <v>160</v>
      </c>
      <c r="B741" s="1" t="s">
        <v>158</v>
      </c>
      <c r="C741" s="1">
        <v>2016</v>
      </c>
      <c r="D741" s="1">
        <v>3</v>
      </c>
      <c r="E741" s="1">
        <v>4</v>
      </c>
      <c r="F741" s="1">
        <v>3.5</v>
      </c>
      <c r="G741" s="1">
        <v>1</v>
      </c>
      <c r="H741" s="2">
        <v>0.77029999999999998</v>
      </c>
      <c r="I741" s="2">
        <v>0.963020030816641</v>
      </c>
      <c r="J741" s="6">
        <v>14315</v>
      </c>
      <c r="K741" s="7">
        <v>4.0167656304575621</v>
      </c>
      <c r="L741" s="7">
        <v>4.9179182675515198</v>
      </c>
      <c r="M741">
        <v>0.5</v>
      </c>
      <c r="O741" s="7"/>
    </row>
    <row r="742" spans="1:15" x14ac:dyDescent="0.25">
      <c r="A742" t="s">
        <v>160</v>
      </c>
      <c r="B742" s="1" t="s">
        <v>158</v>
      </c>
      <c r="C742" s="1">
        <v>2017</v>
      </c>
      <c r="D742" s="1">
        <v>3</v>
      </c>
      <c r="E742" s="1">
        <v>4</v>
      </c>
      <c r="F742" s="1">
        <v>3.5</v>
      </c>
      <c r="G742" s="1">
        <v>1</v>
      </c>
      <c r="H742" s="5">
        <v>0.84279999999999999</v>
      </c>
      <c r="I742" s="2">
        <v>1.0369141435089175</v>
      </c>
      <c r="J742" s="3">
        <v>14485</v>
      </c>
      <c r="K742">
        <v>4.0167656304575621</v>
      </c>
      <c r="L742">
        <v>4.9179182675515198</v>
      </c>
      <c r="M742">
        <v>0.5</v>
      </c>
    </row>
    <row r="743" spans="1:15" x14ac:dyDescent="0.25">
      <c r="A743" s="8" t="s">
        <v>160</v>
      </c>
      <c r="B743" s="1" t="s">
        <v>158</v>
      </c>
      <c r="C743" s="1">
        <v>2018</v>
      </c>
      <c r="D743" s="1">
        <v>3</v>
      </c>
      <c r="E743" s="1">
        <v>4</v>
      </c>
      <c r="F743" s="1">
        <v>3.5</v>
      </c>
      <c r="G743" s="1">
        <v>1</v>
      </c>
      <c r="H743" s="2">
        <v>1.4957</v>
      </c>
      <c r="I743" s="2">
        <v>0.91835797593902102</v>
      </c>
      <c r="J743" s="3">
        <v>14291</v>
      </c>
      <c r="K743">
        <v>4.0167656304575621</v>
      </c>
      <c r="L743">
        <v>4.9179182675515198</v>
      </c>
      <c r="M743">
        <v>0.5</v>
      </c>
    </row>
    <row r="744" spans="1:15" x14ac:dyDescent="0.25">
      <c r="A744" s="8" t="s">
        <v>161</v>
      </c>
      <c r="B744" s="1" t="s">
        <v>158</v>
      </c>
      <c r="C744" s="1">
        <v>2014</v>
      </c>
      <c r="D744" s="1">
        <v>5</v>
      </c>
      <c r="E744" s="1">
        <v>5</v>
      </c>
      <c r="F744" s="1">
        <v>5</v>
      </c>
      <c r="G744" s="1">
        <v>0</v>
      </c>
      <c r="H744" s="5">
        <v>1.2446999999999999</v>
      </c>
      <c r="I744" s="2">
        <f>1/1.1108</f>
        <v>0.90025207057976231</v>
      </c>
      <c r="J744" s="3">
        <v>3166</v>
      </c>
      <c r="K744">
        <v>6.0076842472930494</v>
      </c>
      <c r="L744">
        <v>1.6416346489696123</v>
      </c>
      <c r="M744">
        <v>0.1</v>
      </c>
    </row>
    <row r="745" spans="1:15" x14ac:dyDescent="0.25">
      <c r="A745" s="8" t="s">
        <v>161</v>
      </c>
      <c r="B745" s="1" t="s">
        <v>158</v>
      </c>
      <c r="C745" s="1">
        <v>2015</v>
      </c>
      <c r="D745" s="1">
        <v>5</v>
      </c>
      <c r="E745" s="1">
        <v>5</v>
      </c>
      <c r="F745" s="1">
        <v>5</v>
      </c>
      <c r="G745" s="1">
        <v>0</v>
      </c>
      <c r="H745" s="2">
        <v>1.1851</v>
      </c>
      <c r="I745" s="2">
        <v>0.94046835323991351</v>
      </c>
      <c r="J745" s="3">
        <v>3082</v>
      </c>
      <c r="K745">
        <v>6.0076842472930494</v>
      </c>
      <c r="L745">
        <v>1.6416346489696123</v>
      </c>
      <c r="M745">
        <v>0.1</v>
      </c>
    </row>
    <row r="746" spans="1:15" x14ac:dyDescent="0.25">
      <c r="A746" t="s">
        <v>161</v>
      </c>
      <c r="B746" s="1" t="s">
        <v>158</v>
      </c>
      <c r="C746" s="1">
        <v>2016</v>
      </c>
      <c r="D746" s="1">
        <v>5</v>
      </c>
      <c r="E746" s="1">
        <v>5</v>
      </c>
      <c r="F746" s="1">
        <v>5</v>
      </c>
      <c r="G746" s="1">
        <v>0</v>
      </c>
      <c r="H746" s="2">
        <v>1.0430999999999999</v>
      </c>
      <c r="I746" s="2">
        <v>0.91349228099022561</v>
      </c>
      <c r="J746" s="6">
        <v>2863</v>
      </c>
      <c r="K746" s="7">
        <v>6.0076842472930494</v>
      </c>
      <c r="L746" s="7">
        <v>1.6416346489696123</v>
      </c>
      <c r="M746">
        <v>0.1</v>
      </c>
      <c r="O746" s="7"/>
    </row>
    <row r="747" spans="1:15" x14ac:dyDescent="0.25">
      <c r="A747" t="s">
        <v>161</v>
      </c>
      <c r="B747" s="1" t="s">
        <v>158</v>
      </c>
      <c r="C747" s="1">
        <v>2017</v>
      </c>
      <c r="D747" s="1">
        <v>5</v>
      </c>
      <c r="E747" s="1">
        <v>5</v>
      </c>
      <c r="F747" s="1">
        <v>5</v>
      </c>
      <c r="G747" s="1">
        <v>0</v>
      </c>
      <c r="H747" s="5">
        <v>1.4298</v>
      </c>
      <c r="I747" s="2">
        <v>0.92072553171899452</v>
      </c>
      <c r="J747" s="3">
        <v>2868</v>
      </c>
      <c r="K747">
        <v>6.0076842472930494</v>
      </c>
      <c r="L747">
        <v>1.6416346489696123</v>
      </c>
      <c r="M747">
        <v>0.1</v>
      </c>
    </row>
    <row r="748" spans="1:15" x14ac:dyDescent="0.25">
      <c r="A748" s="8" t="s">
        <v>161</v>
      </c>
      <c r="B748" s="1" t="s">
        <v>158</v>
      </c>
      <c r="C748" s="1">
        <v>2018</v>
      </c>
      <c r="D748" s="1">
        <v>5</v>
      </c>
      <c r="E748" s="1">
        <v>5</v>
      </c>
      <c r="F748" s="1">
        <v>5</v>
      </c>
      <c r="G748" s="1">
        <v>0</v>
      </c>
      <c r="H748" s="2">
        <v>1.1395</v>
      </c>
      <c r="I748" s="2">
        <v>0.81579376733561759</v>
      </c>
      <c r="J748" s="3">
        <v>2852</v>
      </c>
      <c r="K748">
        <v>6.0076842472930494</v>
      </c>
      <c r="L748">
        <v>1.6416346489696123</v>
      </c>
      <c r="M748">
        <v>0.1</v>
      </c>
    </row>
    <row r="749" spans="1:15" x14ac:dyDescent="0.25">
      <c r="A749" s="8" t="s">
        <v>162</v>
      </c>
      <c r="B749" s="1" t="s">
        <v>158</v>
      </c>
      <c r="C749" s="1">
        <v>2014</v>
      </c>
      <c r="D749" s="1">
        <v>5</v>
      </c>
      <c r="E749" s="1">
        <v>5</v>
      </c>
      <c r="F749" s="1">
        <v>5</v>
      </c>
      <c r="G749" s="1">
        <v>0</v>
      </c>
      <c r="H749" s="5">
        <v>1.0951</v>
      </c>
      <c r="I749" s="2">
        <f>1/1.0735</f>
        <v>0.9315323707498836</v>
      </c>
      <c r="J749" s="3">
        <v>317</v>
      </c>
      <c r="K749">
        <v>9.2250922509225095</v>
      </c>
      <c r="L749">
        <v>0</v>
      </c>
      <c r="M749">
        <v>0</v>
      </c>
    </row>
    <row r="750" spans="1:15" x14ac:dyDescent="0.25">
      <c r="A750" s="8" t="s">
        <v>162</v>
      </c>
      <c r="B750" s="1" t="s">
        <v>158</v>
      </c>
      <c r="C750" s="1">
        <v>2015</v>
      </c>
      <c r="D750" s="1">
        <v>5</v>
      </c>
      <c r="E750" s="1">
        <v>5</v>
      </c>
      <c r="F750" s="1">
        <v>5</v>
      </c>
      <c r="G750" s="1">
        <v>0</v>
      </c>
      <c r="H750" s="2">
        <v>1.7290000000000001</v>
      </c>
      <c r="I750" s="2">
        <v>0.93993796409436969</v>
      </c>
      <c r="J750" s="3">
        <v>296</v>
      </c>
      <c r="K750">
        <v>9.2250922509225095</v>
      </c>
      <c r="L750">
        <v>0</v>
      </c>
      <c r="M750">
        <v>0</v>
      </c>
    </row>
    <row r="751" spans="1:15" x14ac:dyDescent="0.25">
      <c r="A751" t="s">
        <v>162</v>
      </c>
      <c r="B751" s="1" t="s">
        <v>158</v>
      </c>
      <c r="C751" s="1">
        <v>2016</v>
      </c>
      <c r="D751" s="1">
        <v>5</v>
      </c>
      <c r="E751" s="1">
        <v>5</v>
      </c>
      <c r="F751" s="1">
        <v>5</v>
      </c>
      <c r="G751" s="1">
        <v>0</v>
      </c>
      <c r="H751" s="2">
        <v>1.038</v>
      </c>
      <c r="I751" s="2">
        <v>0.86177180282661148</v>
      </c>
      <c r="J751" s="6">
        <v>271</v>
      </c>
      <c r="K751" s="7">
        <v>9.2250922509225095</v>
      </c>
      <c r="L751" s="7">
        <v>0</v>
      </c>
      <c r="M751">
        <v>0</v>
      </c>
      <c r="O751" s="7"/>
    </row>
    <row r="752" spans="1:15" x14ac:dyDescent="0.25">
      <c r="A752" t="s">
        <v>162</v>
      </c>
      <c r="B752" s="1" t="s">
        <v>158</v>
      </c>
      <c r="C752" s="1">
        <v>2017</v>
      </c>
      <c r="D752" s="1">
        <v>5</v>
      </c>
      <c r="E752" s="1">
        <v>5</v>
      </c>
      <c r="F752" s="1">
        <v>5</v>
      </c>
      <c r="G752" s="1">
        <v>0</v>
      </c>
      <c r="H752" s="5">
        <v>1.2425999999999999</v>
      </c>
      <c r="I752" s="2">
        <v>0.90130689499774674</v>
      </c>
      <c r="J752" s="3">
        <v>267</v>
      </c>
      <c r="K752">
        <v>9.2250922509225095</v>
      </c>
      <c r="L752">
        <v>0</v>
      </c>
      <c r="M752">
        <v>0</v>
      </c>
    </row>
    <row r="753" spans="1:15" x14ac:dyDescent="0.25">
      <c r="A753" s="8" t="s">
        <v>162</v>
      </c>
      <c r="B753" s="1" t="s">
        <v>158</v>
      </c>
      <c r="C753" s="1">
        <v>2018</v>
      </c>
      <c r="D753" s="1">
        <v>5</v>
      </c>
      <c r="E753" s="1">
        <v>5</v>
      </c>
      <c r="F753" s="1">
        <v>5</v>
      </c>
      <c r="G753" s="1">
        <v>0</v>
      </c>
      <c r="H753" s="2">
        <v>1.2968</v>
      </c>
      <c r="I753" s="2">
        <v>0.90432266232591796</v>
      </c>
      <c r="J753" s="3">
        <v>267</v>
      </c>
      <c r="K753">
        <v>9.2250922509225095</v>
      </c>
      <c r="L753">
        <v>0</v>
      </c>
      <c r="M753">
        <v>0</v>
      </c>
    </row>
    <row r="754" spans="1:15" x14ac:dyDescent="0.25">
      <c r="A754" s="8" t="s">
        <v>163</v>
      </c>
      <c r="B754" s="1" t="s">
        <v>158</v>
      </c>
      <c r="C754" s="1">
        <v>2014</v>
      </c>
      <c r="D754" s="1">
        <v>5</v>
      </c>
      <c r="E754" s="1">
        <v>5</v>
      </c>
      <c r="F754" s="1">
        <v>5</v>
      </c>
      <c r="G754" s="1">
        <v>0</v>
      </c>
      <c r="H754" s="5">
        <v>1.2899</v>
      </c>
      <c r="I754" s="2">
        <f>1/0.8732</f>
        <v>1.1452130096197892</v>
      </c>
      <c r="J754" s="3">
        <v>2152</v>
      </c>
      <c r="K754">
        <v>5.4125065685759326</v>
      </c>
      <c r="L754">
        <v>1.3662637940094586</v>
      </c>
      <c r="M754">
        <v>0.1</v>
      </c>
    </row>
    <row r="755" spans="1:15" x14ac:dyDescent="0.25">
      <c r="A755" s="8" t="s">
        <v>163</v>
      </c>
      <c r="B755" s="1" t="s">
        <v>158</v>
      </c>
      <c r="C755" s="1">
        <v>2015</v>
      </c>
      <c r="D755" s="1">
        <v>5</v>
      </c>
      <c r="E755" s="1">
        <v>5</v>
      </c>
      <c r="F755" s="1">
        <v>5</v>
      </c>
      <c r="G755" s="1">
        <v>0</v>
      </c>
      <c r="H755" s="2">
        <v>0.84</v>
      </c>
      <c r="I755" s="2">
        <v>1.1398609369656902</v>
      </c>
      <c r="J755" s="3">
        <v>2035</v>
      </c>
      <c r="K755">
        <v>5.4125065685759326</v>
      </c>
      <c r="L755">
        <v>1.3662637940094586</v>
      </c>
      <c r="M755">
        <v>0.1</v>
      </c>
    </row>
    <row r="756" spans="1:15" x14ac:dyDescent="0.25">
      <c r="A756" t="s">
        <v>163</v>
      </c>
      <c r="B756" s="1" t="s">
        <v>158</v>
      </c>
      <c r="C756" s="1">
        <v>2016</v>
      </c>
      <c r="D756" s="1">
        <v>5</v>
      </c>
      <c r="E756" s="1">
        <v>5</v>
      </c>
      <c r="F756" s="1">
        <v>5</v>
      </c>
      <c r="G756" s="1">
        <v>0</v>
      </c>
      <c r="H756" s="2">
        <v>0.95</v>
      </c>
      <c r="I756" s="2">
        <v>0.93214019388516034</v>
      </c>
      <c r="J756" s="6">
        <v>1903</v>
      </c>
      <c r="K756" s="7">
        <v>5.4125065685759326</v>
      </c>
      <c r="L756" s="7">
        <v>1.3662637940094586</v>
      </c>
      <c r="M756">
        <v>0.1</v>
      </c>
      <c r="O756" s="7"/>
    </row>
    <row r="757" spans="1:15" x14ac:dyDescent="0.25">
      <c r="A757" t="s">
        <v>163</v>
      </c>
      <c r="B757" s="1" t="s">
        <v>158</v>
      </c>
      <c r="C757" s="1">
        <v>2017</v>
      </c>
      <c r="D757" s="1">
        <v>5</v>
      </c>
      <c r="E757" s="1">
        <v>5</v>
      </c>
      <c r="F757" s="1">
        <v>5</v>
      </c>
      <c r="G757" s="1">
        <v>0</v>
      </c>
      <c r="H757" s="5">
        <v>0.84</v>
      </c>
      <c r="I757" s="2">
        <v>1.0210332856851132</v>
      </c>
      <c r="J757" s="3">
        <v>1876</v>
      </c>
      <c r="K757">
        <v>5.4125065685759326</v>
      </c>
      <c r="L757">
        <v>1.3662637940094586</v>
      </c>
      <c r="M757">
        <v>0.1</v>
      </c>
    </row>
    <row r="758" spans="1:15" x14ac:dyDescent="0.25">
      <c r="A758" s="8" t="s">
        <v>163</v>
      </c>
      <c r="B758" s="1" t="s">
        <v>158</v>
      </c>
      <c r="C758" s="1">
        <v>2018</v>
      </c>
      <c r="D758" s="1">
        <v>5</v>
      </c>
      <c r="E758" s="1">
        <v>5</v>
      </c>
      <c r="F758" s="1">
        <v>5</v>
      </c>
      <c r="G758" s="1">
        <v>0</v>
      </c>
      <c r="H758" s="2">
        <v>1.06</v>
      </c>
      <c r="I758" s="2">
        <v>0.86610081413476525</v>
      </c>
      <c r="J758" s="3">
        <v>1863</v>
      </c>
      <c r="K758">
        <v>5.4125065685759326</v>
      </c>
      <c r="L758">
        <v>1.3662637940094586</v>
      </c>
      <c r="M758">
        <v>0.1</v>
      </c>
    </row>
    <row r="759" spans="1:15" x14ac:dyDescent="0.25">
      <c r="A759" s="8" t="s">
        <v>164</v>
      </c>
      <c r="B759" s="1" t="s">
        <v>158</v>
      </c>
      <c r="C759" s="1">
        <v>2014</v>
      </c>
      <c r="D759" s="1">
        <v>5</v>
      </c>
      <c r="E759" s="1">
        <v>5</v>
      </c>
      <c r="F759" s="1">
        <v>5</v>
      </c>
      <c r="G759" s="1">
        <v>0</v>
      </c>
      <c r="H759" s="5">
        <v>0.38719999999999999</v>
      </c>
      <c r="I759" s="2">
        <f>1/1.2942</f>
        <v>0.77267810230258072</v>
      </c>
      <c r="J759" s="3">
        <v>473</v>
      </c>
      <c r="K759">
        <v>25.647058823529413</v>
      </c>
      <c r="L759">
        <v>2.5882352941176472</v>
      </c>
      <c r="M759">
        <v>0</v>
      </c>
    </row>
    <row r="760" spans="1:15" x14ac:dyDescent="0.25">
      <c r="A760" s="8" t="s">
        <v>164</v>
      </c>
      <c r="B760" s="1" t="s">
        <v>158</v>
      </c>
      <c r="C760" s="1">
        <v>2015</v>
      </c>
      <c r="D760" s="1">
        <v>5</v>
      </c>
      <c r="E760" s="1">
        <v>5</v>
      </c>
      <c r="F760" s="1">
        <v>5</v>
      </c>
      <c r="G760" s="1">
        <v>0</v>
      </c>
      <c r="H760" s="2">
        <v>2.1800000000000002</v>
      </c>
      <c r="I760" s="2">
        <v>0.96562379297025869</v>
      </c>
      <c r="J760" s="3">
        <v>459</v>
      </c>
      <c r="K760">
        <v>25.647058823529413</v>
      </c>
      <c r="L760">
        <v>2.5882352941176472</v>
      </c>
      <c r="M760">
        <v>0</v>
      </c>
    </row>
    <row r="761" spans="1:15" x14ac:dyDescent="0.25">
      <c r="A761" t="s">
        <v>164</v>
      </c>
      <c r="B761" s="1" t="s">
        <v>158</v>
      </c>
      <c r="C761" s="1">
        <v>2016</v>
      </c>
      <c r="D761" s="1">
        <v>5</v>
      </c>
      <c r="E761" s="1">
        <v>5</v>
      </c>
      <c r="F761" s="1">
        <v>5</v>
      </c>
      <c r="G761" s="1">
        <v>0</v>
      </c>
      <c r="H761" s="2">
        <v>0.86</v>
      </c>
      <c r="I761" s="2">
        <v>0.8863676653075695</v>
      </c>
      <c r="J761" s="6">
        <v>425</v>
      </c>
      <c r="K761" s="7">
        <v>25.647058823529413</v>
      </c>
      <c r="L761" s="7">
        <v>2.5882352941176472</v>
      </c>
      <c r="M761">
        <v>0</v>
      </c>
      <c r="O761" s="7"/>
    </row>
    <row r="762" spans="1:15" x14ac:dyDescent="0.25">
      <c r="A762" t="s">
        <v>164</v>
      </c>
      <c r="B762" s="1" t="s">
        <v>158</v>
      </c>
      <c r="C762" s="1">
        <v>2017</v>
      </c>
      <c r="D762" s="1">
        <v>5</v>
      </c>
      <c r="E762" s="1">
        <v>5</v>
      </c>
      <c r="F762" s="1">
        <v>5</v>
      </c>
      <c r="G762" s="1">
        <v>0</v>
      </c>
      <c r="H762" s="5">
        <v>0.1082</v>
      </c>
      <c r="I762" s="2">
        <v>1.029336078229542</v>
      </c>
      <c r="J762" s="3">
        <v>424</v>
      </c>
      <c r="K762">
        <v>25.647058823529413</v>
      </c>
      <c r="L762">
        <v>2.5882352941176472</v>
      </c>
      <c r="M762">
        <v>0</v>
      </c>
    </row>
    <row r="763" spans="1:15" x14ac:dyDescent="0.25">
      <c r="A763" s="8" t="s">
        <v>164</v>
      </c>
      <c r="B763" s="1" t="s">
        <v>158</v>
      </c>
      <c r="C763" s="1">
        <v>2018</v>
      </c>
      <c r="D763" s="1">
        <v>5</v>
      </c>
      <c r="E763" s="1">
        <v>5</v>
      </c>
      <c r="F763" s="1">
        <v>5</v>
      </c>
      <c r="G763" s="1">
        <v>0</v>
      </c>
      <c r="H763" s="2">
        <v>0.23180000000000001</v>
      </c>
      <c r="I763" s="2">
        <v>0.751371252535878</v>
      </c>
      <c r="J763" s="3">
        <v>425</v>
      </c>
      <c r="K763">
        <v>25.647058823529413</v>
      </c>
      <c r="L763">
        <v>2.5882352941176472</v>
      </c>
      <c r="M763">
        <v>0</v>
      </c>
    </row>
    <row r="764" spans="1:15" x14ac:dyDescent="0.25">
      <c r="A764" s="8" t="s">
        <v>165</v>
      </c>
      <c r="B764" s="1" t="s">
        <v>158</v>
      </c>
      <c r="C764" s="1">
        <v>2014</v>
      </c>
      <c r="D764" s="1">
        <v>1</v>
      </c>
      <c r="E764" s="1">
        <v>4</v>
      </c>
      <c r="F764" s="1">
        <v>2.5</v>
      </c>
      <c r="G764" s="1">
        <v>3</v>
      </c>
      <c r="H764" s="5">
        <v>0.66720000000000002</v>
      </c>
      <c r="I764" s="2">
        <f>1/1.0459</f>
        <v>0.95611435127641264</v>
      </c>
      <c r="J764" s="3">
        <v>1149107</v>
      </c>
      <c r="K764">
        <v>1.5</v>
      </c>
      <c r="L764">
        <v>22.4</v>
      </c>
      <c r="M764">
        <v>855.8</v>
      </c>
    </row>
    <row r="765" spans="1:15" x14ac:dyDescent="0.25">
      <c r="A765" s="8" t="s">
        <v>165</v>
      </c>
      <c r="B765" s="1" t="s">
        <v>158</v>
      </c>
      <c r="C765" s="1">
        <v>2015</v>
      </c>
      <c r="D765" s="1">
        <v>1</v>
      </c>
      <c r="E765" s="1">
        <v>4</v>
      </c>
      <c r="F765" s="1">
        <v>2.5</v>
      </c>
      <c r="G765" s="1">
        <v>3</v>
      </c>
      <c r="H765" s="2">
        <v>0.77</v>
      </c>
      <c r="I765" s="2">
        <v>1</v>
      </c>
      <c r="J765" s="3">
        <v>1165437</v>
      </c>
      <c r="K765">
        <v>1.5</v>
      </c>
      <c r="L765">
        <v>22.4</v>
      </c>
      <c r="M765">
        <v>868</v>
      </c>
    </row>
    <row r="766" spans="1:15" x14ac:dyDescent="0.25">
      <c r="A766" t="s">
        <v>165</v>
      </c>
      <c r="B766" s="1" t="s">
        <v>158</v>
      </c>
      <c r="C766" s="1">
        <v>2016</v>
      </c>
      <c r="D766" s="1">
        <v>1</v>
      </c>
      <c r="E766" s="1">
        <v>4</v>
      </c>
      <c r="F766" s="1">
        <v>2.5</v>
      </c>
      <c r="G766" s="1">
        <v>3</v>
      </c>
      <c r="H766" s="5">
        <v>0.67</v>
      </c>
      <c r="I766" s="2">
        <v>1</v>
      </c>
      <c r="J766" s="3">
        <v>1184752</v>
      </c>
      <c r="K766" s="11">
        <v>1.5</v>
      </c>
      <c r="L766" s="11">
        <v>22.4</v>
      </c>
      <c r="M766">
        <v>882.4</v>
      </c>
      <c r="O766" s="7"/>
    </row>
    <row r="767" spans="1:15" x14ac:dyDescent="0.25">
      <c r="A767" t="s">
        <v>165</v>
      </c>
      <c r="B767" s="1" t="s">
        <v>158</v>
      </c>
      <c r="C767" s="1">
        <v>2017</v>
      </c>
      <c r="D767" s="1">
        <v>1</v>
      </c>
      <c r="E767" s="1">
        <v>4</v>
      </c>
      <c r="F767" s="1">
        <v>2.5</v>
      </c>
      <c r="G767" s="1">
        <v>3</v>
      </c>
      <c r="H767" s="5">
        <v>0.82499999999999996</v>
      </c>
      <c r="I767" s="2">
        <v>1.1122233344455568</v>
      </c>
      <c r="J767" s="3">
        <v>1208663</v>
      </c>
      <c r="K767">
        <v>1.5</v>
      </c>
      <c r="L767">
        <v>22.4</v>
      </c>
      <c r="M767">
        <v>900.2</v>
      </c>
    </row>
    <row r="768" spans="1:15" x14ac:dyDescent="0.25">
      <c r="A768" s="8" t="s">
        <v>165</v>
      </c>
      <c r="B768" s="1" t="s">
        <v>158</v>
      </c>
      <c r="C768" s="1">
        <v>2018</v>
      </c>
      <c r="D768" s="1">
        <v>1</v>
      </c>
      <c r="E768" s="1">
        <v>4</v>
      </c>
      <c r="F768" s="1">
        <v>2.5</v>
      </c>
      <c r="G768" s="1">
        <v>3</v>
      </c>
      <c r="H768" s="2">
        <v>1.1399999999999999</v>
      </c>
      <c r="I768" s="2">
        <v>1.1016855789357718</v>
      </c>
      <c r="J768" s="3">
        <v>1231605</v>
      </c>
      <c r="K768">
        <v>1.5</v>
      </c>
      <c r="L768">
        <v>22.4</v>
      </c>
      <c r="M768">
        <v>917.2</v>
      </c>
    </row>
    <row r="769" spans="1:15" x14ac:dyDescent="0.25">
      <c r="A769" s="8" t="s">
        <v>166</v>
      </c>
      <c r="B769" s="1" t="s">
        <v>158</v>
      </c>
      <c r="C769" s="1">
        <v>2014</v>
      </c>
      <c r="D769" s="1">
        <v>5</v>
      </c>
      <c r="E769" s="1">
        <v>5</v>
      </c>
      <c r="F769" s="1">
        <v>5</v>
      </c>
      <c r="G769" s="1">
        <v>0</v>
      </c>
      <c r="H769" s="5">
        <v>2.7431000000000001</v>
      </c>
      <c r="I769" s="2">
        <f>1/1.2663</f>
        <v>0.78970228223959571</v>
      </c>
      <c r="J769" s="3">
        <v>388</v>
      </c>
      <c r="K769">
        <v>10.511363636363637</v>
      </c>
      <c r="L769">
        <v>1.1363636363636365</v>
      </c>
      <c r="M769">
        <v>0</v>
      </c>
    </row>
    <row r="770" spans="1:15" x14ac:dyDescent="0.25">
      <c r="A770" s="8" t="s">
        <v>166</v>
      </c>
      <c r="B770" s="1" t="s">
        <v>158</v>
      </c>
      <c r="C770" s="1">
        <v>2015</v>
      </c>
      <c r="D770" s="1">
        <v>5</v>
      </c>
      <c r="E770" s="1">
        <v>5</v>
      </c>
      <c r="F770" s="1">
        <v>5</v>
      </c>
      <c r="G770" s="1">
        <v>0</v>
      </c>
      <c r="H770" s="2">
        <v>1.04</v>
      </c>
      <c r="I770" s="2">
        <v>0.79421809228814222</v>
      </c>
      <c r="J770" s="3">
        <v>372</v>
      </c>
      <c r="K770">
        <v>10.511363636363637</v>
      </c>
      <c r="L770">
        <v>1.1363636363636365</v>
      </c>
      <c r="M770">
        <v>0</v>
      </c>
    </row>
    <row r="771" spans="1:15" x14ac:dyDescent="0.25">
      <c r="A771" t="s">
        <v>166</v>
      </c>
      <c r="B771" s="1" t="s">
        <v>158</v>
      </c>
      <c r="C771" s="1">
        <v>2016</v>
      </c>
      <c r="D771" s="1">
        <v>5</v>
      </c>
      <c r="E771" s="1">
        <v>5</v>
      </c>
      <c r="F771" s="1">
        <v>5</v>
      </c>
      <c r="G771" s="1">
        <v>0</v>
      </c>
      <c r="H771" s="2">
        <v>2.5007000000000001</v>
      </c>
      <c r="I771" s="2">
        <v>1.0305028854080791</v>
      </c>
      <c r="J771" s="6">
        <v>352</v>
      </c>
      <c r="K771" s="7">
        <v>10.511363636363637</v>
      </c>
      <c r="L771" s="7">
        <v>1.1363636363636365</v>
      </c>
      <c r="M771">
        <v>0</v>
      </c>
      <c r="O771" s="7"/>
    </row>
    <row r="772" spans="1:15" x14ac:dyDescent="0.25">
      <c r="A772" t="s">
        <v>166</v>
      </c>
      <c r="B772" s="1" t="s">
        <v>158</v>
      </c>
      <c r="C772" s="1">
        <v>2017</v>
      </c>
      <c r="D772" s="1">
        <v>5</v>
      </c>
      <c r="E772" s="1">
        <v>5</v>
      </c>
      <c r="F772" s="1">
        <v>5</v>
      </c>
      <c r="G772" s="1">
        <v>0</v>
      </c>
      <c r="H772" s="5">
        <v>0.94</v>
      </c>
      <c r="I772" s="2">
        <v>1.2177301509985388</v>
      </c>
      <c r="J772" s="3">
        <v>343</v>
      </c>
      <c r="K772">
        <v>10.511363636363637</v>
      </c>
      <c r="L772">
        <v>1.1363636363636365</v>
      </c>
      <c r="M772">
        <v>0</v>
      </c>
    </row>
    <row r="773" spans="1:15" x14ac:dyDescent="0.25">
      <c r="A773" s="8" t="s">
        <v>166</v>
      </c>
      <c r="B773" s="1" t="s">
        <v>158</v>
      </c>
      <c r="C773" s="1">
        <v>2018</v>
      </c>
      <c r="D773" s="1">
        <v>5</v>
      </c>
      <c r="E773" s="1">
        <v>5</v>
      </c>
      <c r="F773" s="1">
        <v>5</v>
      </c>
      <c r="G773" s="1">
        <v>0</v>
      </c>
      <c r="H773" s="2">
        <v>2.7938000000000001</v>
      </c>
      <c r="I773" s="2">
        <v>1.0528532322594231</v>
      </c>
      <c r="J773" s="3">
        <v>330</v>
      </c>
      <c r="K773">
        <v>10.511363636363637</v>
      </c>
      <c r="L773">
        <v>1.1363636363636365</v>
      </c>
      <c r="M773">
        <v>0</v>
      </c>
    </row>
    <row r="774" spans="1:15" x14ac:dyDescent="0.25">
      <c r="A774" s="8" t="s">
        <v>167</v>
      </c>
      <c r="B774" s="1" t="s">
        <v>158</v>
      </c>
      <c r="C774" s="1">
        <v>2014</v>
      </c>
      <c r="D774" s="1">
        <v>2</v>
      </c>
      <c r="E774" s="1">
        <v>3</v>
      </c>
      <c r="F774" s="1">
        <v>2.5</v>
      </c>
      <c r="G774" s="1">
        <v>1</v>
      </c>
      <c r="H774" s="5">
        <v>1.1761999999999999</v>
      </c>
      <c r="I774" s="2">
        <f>1/1.0454</f>
        <v>0.95657164721637644</v>
      </c>
      <c r="J774" s="3">
        <v>94025</v>
      </c>
      <c r="K774">
        <v>3.9905698968717034</v>
      </c>
      <c r="L774">
        <v>4.3393545331237755</v>
      </c>
      <c r="M774">
        <v>14.6</v>
      </c>
    </row>
    <row r="775" spans="1:15" x14ac:dyDescent="0.25">
      <c r="A775" s="8" t="s">
        <v>167</v>
      </c>
      <c r="B775" s="1" t="s">
        <v>158</v>
      </c>
      <c r="C775" s="1">
        <v>2015</v>
      </c>
      <c r="D775" s="1">
        <v>2</v>
      </c>
      <c r="E775" s="1">
        <v>3</v>
      </c>
      <c r="F775" s="1">
        <v>2.5</v>
      </c>
      <c r="G775" s="1">
        <v>1</v>
      </c>
      <c r="H775" s="2">
        <v>0.97</v>
      </c>
      <c r="I775" s="2">
        <v>1.0312467773538208</v>
      </c>
      <c r="J775" s="3">
        <v>94028</v>
      </c>
      <c r="K775">
        <v>3.9905698968717034</v>
      </c>
      <c r="L775">
        <v>4.3393545331237755</v>
      </c>
      <c r="M775">
        <v>14.6</v>
      </c>
    </row>
    <row r="776" spans="1:15" x14ac:dyDescent="0.25">
      <c r="A776" t="s">
        <v>167</v>
      </c>
      <c r="B776" s="1" t="s">
        <v>158</v>
      </c>
      <c r="C776" s="1">
        <v>2016</v>
      </c>
      <c r="D776" s="1">
        <v>2</v>
      </c>
      <c r="E776" s="1">
        <v>3</v>
      </c>
      <c r="F776" s="1">
        <v>2.5</v>
      </c>
      <c r="G776" s="1">
        <v>1</v>
      </c>
      <c r="H776" s="2">
        <v>0.37</v>
      </c>
      <c r="I776" s="2">
        <v>1.0467915837956663</v>
      </c>
      <c r="J776" s="6">
        <v>92894</v>
      </c>
      <c r="K776" s="7">
        <v>3.9905698968717034</v>
      </c>
      <c r="L776" s="7">
        <v>4.3393545331237755</v>
      </c>
      <c r="M776">
        <v>14.7</v>
      </c>
      <c r="O776" s="7"/>
    </row>
    <row r="777" spans="1:15" x14ac:dyDescent="0.25">
      <c r="A777" t="s">
        <v>167</v>
      </c>
      <c r="B777" s="1" t="s">
        <v>158</v>
      </c>
      <c r="C777" s="1">
        <v>2017</v>
      </c>
      <c r="D777" s="1">
        <v>2</v>
      </c>
      <c r="E777" s="1">
        <v>3</v>
      </c>
      <c r="F777" s="1">
        <v>2.5</v>
      </c>
      <c r="G777" s="1">
        <v>1</v>
      </c>
      <c r="H777" s="5">
        <v>0.82</v>
      </c>
      <c r="I777" s="2">
        <v>1.1118523460084502</v>
      </c>
      <c r="J777" s="3">
        <v>94697</v>
      </c>
      <c r="K777">
        <v>3.9905698968717034</v>
      </c>
      <c r="L777">
        <v>4.3393545331237755</v>
      </c>
      <c r="M777">
        <v>14.7</v>
      </c>
    </row>
    <row r="778" spans="1:15" x14ac:dyDescent="0.25">
      <c r="A778" s="8" t="s">
        <v>167</v>
      </c>
      <c r="B778" s="1" t="s">
        <v>158</v>
      </c>
      <c r="C778" s="1">
        <v>2018</v>
      </c>
      <c r="D778" s="1">
        <v>2</v>
      </c>
      <c r="E778" s="1">
        <v>3</v>
      </c>
      <c r="F778" s="1">
        <v>2.5</v>
      </c>
      <c r="G778" s="1">
        <v>1</v>
      </c>
      <c r="H778" s="2">
        <v>0.67</v>
      </c>
      <c r="I778" s="2">
        <v>1.1079104808331488</v>
      </c>
      <c r="J778" s="3">
        <v>95302</v>
      </c>
      <c r="K778">
        <v>3.9905698968717034</v>
      </c>
      <c r="L778">
        <v>4.3393545331237755</v>
      </c>
      <c r="M778">
        <v>14.8</v>
      </c>
    </row>
    <row r="779" spans="1:15" x14ac:dyDescent="0.25">
      <c r="A779" s="8" t="s">
        <v>168</v>
      </c>
      <c r="B779" s="1" t="s">
        <v>158</v>
      </c>
      <c r="C779" s="1">
        <v>2014</v>
      </c>
      <c r="D779" s="1">
        <v>3</v>
      </c>
      <c r="E779" s="1">
        <v>4</v>
      </c>
      <c r="F779" s="1">
        <v>3.5</v>
      </c>
      <c r="G779" s="1">
        <v>1</v>
      </c>
      <c r="H779" s="5">
        <v>2.3504</v>
      </c>
      <c r="I779" s="2">
        <f>1/0.9516</f>
        <v>1.0508617065994115</v>
      </c>
      <c r="J779" s="3">
        <v>17695</v>
      </c>
      <c r="K779">
        <v>5.7393850658857977</v>
      </c>
      <c r="L779">
        <v>6.3074670571010252</v>
      </c>
      <c r="M779">
        <v>3.5</v>
      </c>
    </row>
    <row r="780" spans="1:15" x14ac:dyDescent="0.25">
      <c r="A780" s="8" t="s">
        <v>168</v>
      </c>
      <c r="B780" s="1" t="s">
        <v>158</v>
      </c>
      <c r="C780" s="1">
        <v>2015</v>
      </c>
      <c r="D780" s="1">
        <v>3</v>
      </c>
      <c r="E780" s="1">
        <v>4</v>
      </c>
      <c r="F780" s="1">
        <v>3.5</v>
      </c>
      <c r="G780" s="1">
        <v>1</v>
      </c>
      <c r="H780" s="2">
        <v>0.72530000000000006</v>
      </c>
      <c r="I780" s="2">
        <v>1.1049723756906078</v>
      </c>
      <c r="J780" s="3">
        <v>17566</v>
      </c>
      <c r="K780">
        <v>5.7393850658857977</v>
      </c>
      <c r="L780">
        <v>6.3074670571010252</v>
      </c>
      <c r="M780">
        <v>3.5</v>
      </c>
    </row>
    <row r="781" spans="1:15" x14ac:dyDescent="0.25">
      <c r="A781" t="s">
        <v>168</v>
      </c>
      <c r="B781" s="1" t="s">
        <v>158</v>
      </c>
      <c r="C781" s="1">
        <v>2016</v>
      </c>
      <c r="D781" s="1">
        <v>3</v>
      </c>
      <c r="E781" s="1">
        <v>4</v>
      </c>
      <c r="F781" s="1">
        <v>3.5</v>
      </c>
      <c r="G781" s="1">
        <v>1</v>
      </c>
      <c r="H781" s="2">
        <v>0.67500000000000004</v>
      </c>
      <c r="I781" s="2">
        <v>1.1118523460084502</v>
      </c>
      <c r="J781" s="6">
        <v>17075</v>
      </c>
      <c r="K781" s="7">
        <v>5.7393850658857977</v>
      </c>
      <c r="L781" s="7">
        <v>6.3074670571010252</v>
      </c>
      <c r="M781">
        <v>3.4</v>
      </c>
      <c r="O781" s="7"/>
    </row>
    <row r="782" spans="1:15" x14ac:dyDescent="0.25">
      <c r="A782" t="s">
        <v>168</v>
      </c>
      <c r="B782" s="1" t="s">
        <v>158</v>
      </c>
      <c r="C782" s="1">
        <v>2017</v>
      </c>
      <c r="D782" s="1">
        <v>3</v>
      </c>
      <c r="E782" s="1">
        <v>4</v>
      </c>
      <c r="F782" s="1">
        <v>3.5</v>
      </c>
      <c r="G782" s="1">
        <v>1</v>
      </c>
      <c r="H782" s="5">
        <v>0.68899999999999995</v>
      </c>
      <c r="I782" s="2">
        <v>1.1596892032935173</v>
      </c>
      <c r="J782" s="3">
        <v>17232</v>
      </c>
      <c r="K782">
        <v>5.7393850658857977</v>
      </c>
      <c r="L782">
        <v>6.3074670571010252</v>
      </c>
      <c r="M782">
        <v>3.4</v>
      </c>
    </row>
    <row r="783" spans="1:15" x14ac:dyDescent="0.25">
      <c r="A783" s="8" t="s">
        <v>168</v>
      </c>
      <c r="B783" s="1" t="s">
        <v>158</v>
      </c>
      <c r="C783" s="1">
        <v>2018</v>
      </c>
      <c r="D783" s="1">
        <v>3</v>
      </c>
      <c r="E783" s="1">
        <v>4</v>
      </c>
      <c r="F783" s="1">
        <v>3.5</v>
      </c>
      <c r="G783" s="1">
        <v>1</v>
      </c>
      <c r="H783" s="2">
        <v>0.96860000000000002</v>
      </c>
      <c r="I783" s="2">
        <v>1.0763104079216446</v>
      </c>
      <c r="J783" s="3">
        <v>17077</v>
      </c>
      <c r="K783">
        <v>5.7393850658857977</v>
      </c>
      <c r="L783">
        <v>6.3074670571010252</v>
      </c>
      <c r="M783">
        <v>3.4</v>
      </c>
    </row>
    <row r="784" spans="1:15" x14ac:dyDescent="0.25">
      <c r="A784" s="8" t="s">
        <v>169</v>
      </c>
      <c r="B784" s="1" t="s">
        <v>158</v>
      </c>
      <c r="C784" s="1">
        <v>2014</v>
      </c>
      <c r="D784" s="1">
        <v>5</v>
      </c>
      <c r="E784" s="1">
        <v>5</v>
      </c>
      <c r="F784" s="1">
        <v>5</v>
      </c>
      <c r="G784" s="1">
        <v>0</v>
      </c>
      <c r="H784" s="5">
        <v>2.84</v>
      </c>
      <c r="I784" s="2">
        <f>1/1.7235</f>
        <v>0.5802146794313896</v>
      </c>
      <c r="J784" s="3">
        <v>450</v>
      </c>
      <c r="K784">
        <v>40.243902439024396</v>
      </c>
      <c r="L784">
        <v>1.524390243902439</v>
      </c>
      <c r="M784">
        <v>0</v>
      </c>
    </row>
    <row r="785" spans="1:15" x14ac:dyDescent="0.25">
      <c r="A785" s="8" t="s">
        <v>169</v>
      </c>
      <c r="B785" s="1" t="s">
        <v>158</v>
      </c>
      <c r="C785" s="1">
        <v>2015</v>
      </c>
      <c r="D785" s="1">
        <v>5</v>
      </c>
      <c r="E785" s="1">
        <v>5</v>
      </c>
      <c r="F785" s="1">
        <v>5</v>
      </c>
      <c r="G785" s="1">
        <v>0</v>
      </c>
      <c r="H785" s="2">
        <v>0.28000000000000003</v>
      </c>
      <c r="I785" s="2">
        <v>0.89063056644104022</v>
      </c>
      <c r="J785" s="3">
        <v>396</v>
      </c>
      <c r="K785">
        <v>40.243902439024396</v>
      </c>
      <c r="L785">
        <v>1.524390243902439</v>
      </c>
      <c r="M785">
        <v>0</v>
      </c>
    </row>
    <row r="786" spans="1:15" x14ac:dyDescent="0.25">
      <c r="A786" t="s">
        <v>169</v>
      </c>
      <c r="B786" s="1" t="s">
        <v>158</v>
      </c>
      <c r="C786" s="1">
        <v>2016</v>
      </c>
      <c r="D786" s="1">
        <v>5</v>
      </c>
      <c r="E786" s="1">
        <v>5</v>
      </c>
      <c r="F786" s="1">
        <v>5</v>
      </c>
      <c r="G786" s="1">
        <v>0</v>
      </c>
      <c r="H786" s="2">
        <v>0.12</v>
      </c>
      <c r="I786" s="2">
        <v>0.70170514349870183</v>
      </c>
      <c r="J786" s="6">
        <v>328</v>
      </c>
      <c r="K786" s="7">
        <v>40.243902439024396</v>
      </c>
      <c r="L786" s="7">
        <v>1.524390243902439</v>
      </c>
      <c r="M786">
        <v>0</v>
      </c>
      <c r="O786" s="7"/>
    </row>
    <row r="787" spans="1:15" x14ac:dyDescent="0.25">
      <c r="A787" t="s">
        <v>169</v>
      </c>
      <c r="B787" s="1" t="s">
        <v>158</v>
      </c>
      <c r="C787" s="1">
        <v>2017</v>
      </c>
      <c r="D787" s="1">
        <v>5</v>
      </c>
      <c r="E787" s="1">
        <v>5</v>
      </c>
      <c r="F787" s="1">
        <v>5</v>
      </c>
      <c r="G787" s="1">
        <v>0</v>
      </c>
      <c r="H787" s="5">
        <v>0.9</v>
      </c>
      <c r="I787" s="2">
        <v>1.1241007194244605</v>
      </c>
      <c r="J787" s="3">
        <v>345</v>
      </c>
      <c r="K787">
        <v>40.243902439024396</v>
      </c>
      <c r="L787">
        <v>1.524390243902439</v>
      </c>
      <c r="M787">
        <v>0</v>
      </c>
    </row>
    <row r="788" spans="1:15" x14ac:dyDescent="0.25">
      <c r="A788" s="8" t="s">
        <v>169</v>
      </c>
      <c r="B788" s="1" t="s">
        <v>158</v>
      </c>
      <c r="C788" s="1">
        <v>2018</v>
      </c>
      <c r="D788" s="1">
        <v>5</v>
      </c>
      <c r="E788" s="1">
        <v>5</v>
      </c>
      <c r="F788" s="1">
        <v>5</v>
      </c>
      <c r="G788" s="1">
        <v>0</v>
      </c>
      <c r="H788" s="2">
        <v>0.91</v>
      </c>
      <c r="I788" s="2">
        <v>0.5420054200542006</v>
      </c>
      <c r="J788" s="3">
        <v>352</v>
      </c>
      <c r="K788">
        <v>40.243902439024396</v>
      </c>
      <c r="L788">
        <v>1.524390243902439</v>
      </c>
      <c r="M788">
        <v>0</v>
      </c>
    </row>
    <row r="789" spans="1:15" x14ac:dyDescent="0.25">
      <c r="A789" s="8" t="s">
        <v>170</v>
      </c>
      <c r="B789" s="1" t="s">
        <v>158</v>
      </c>
      <c r="C789" s="1">
        <v>2014</v>
      </c>
      <c r="D789" s="1">
        <v>3</v>
      </c>
      <c r="E789" s="1">
        <v>3</v>
      </c>
      <c r="F789" s="1">
        <v>3</v>
      </c>
      <c r="G789" s="1">
        <v>0</v>
      </c>
      <c r="H789" s="5">
        <v>1.0382</v>
      </c>
      <c r="I789" s="2">
        <f>1/0.991</f>
        <v>1.0090817356205852</v>
      </c>
      <c r="J789" s="3">
        <v>158574</v>
      </c>
      <c r="K789">
        <v>8.9859783301465903</v>
      </c>
      <c r="L789">
        <v>13.303377947737413</v>
      </c>
      <c r="M789">
        <v>93.9</v>
      </c>
    </row>
    <row r="790" spans="1:15" x14ac:dyDescent="0.25">
      <c r="A790" s="8" t="s">
        <v>170</v>
      </c>
      <c r="B790" s="1" t="s">
        <v>158</v>
      </c>
      <c r="C790" s="1">
        <v>2015</v>
      </c>
      <c r="D790" s="1">
        <v>3</v>
      </c>
      <c r="E790" s="1">
        <v>3</v>
      </c>
      <c r="F790" s="1">
        <v>3</v>
      </c>
      <c r="G790" s="1">
        <v>0</v>
      </c>
      <c r="H790" s="2">
        <v>0.89249999999999996</v>
      </c>
      <c r="I790" s="2">
        <v>1.0313531353135312</v>
      </c>
      <c r="J790" s="3">
        <v>159944</v>
      </c>
      <c r="K790">
        <v>8.9859783301465903</v>
      </c>
      <c r="L790">
        <v>13.303377947737413</v>
      </c>
      <c r="M790">
        <v>94.7</v>
      </c>
    </row>
    <row r="791" spans="1:15" x14ac:dyDescent="0.25">
      <c r="A791" t="s">
        <v>170</v>
      </c>
      <c r="B791" s="1" t="s">
        <v>158</v>
      </c>
      <c r="C791" s="1">
        <v>2016</v>
      </c>
      <c r="D791" s="1">
        <v>3</v>
      </c>
      <c r="E791" s="1">
        <v>3</v>
      </c>
      <c r="F791" s="1">
        <v>3</v>
      </c>
      <c r="G791" s="1">
        <v>0</v>
      </c>
      <c r="H791" s="2">
        <v>1.03</v>
      </c>
      <c r="I791" s="2">
        <v>0.94813691096994412</v>
      </c>
      <c r="J791" s="6">
        <v>156900</v>
      </c>
      <c r="K791" s="7">
        <v>8.9859783301465903</v>
      </c>
      <c r="L791" s="7">
        <v>13.303377947737413</v>
      </c>
      <c r="M791">
        <v>95.6</v>
      </c>
      <c r="O791" s="7"/>
    </row>
    <row r="792" spans="1:15" x14ac:dyDescent="0.25">
      <c r="A792" t="s">
        <v>170</v>
      </c>
      <c r="B792" s="1" t="s">
        <v>158</v>
      </c>
      <c r="C792" s="1">
        <v>2017</v>
      </c>
      <c r="D792" s="1">
        <v>3</v>
      </c>
      <c r="E792" s="1">
        <v>3</v>
      </c>
      <c r="F792" s="1">
        <v>3</v>
      </c>
      <c r="G792" s="1">
        <v>0</v>
      </c>
      <c r="H792" s="5">
        <v>1.01</v>
      </c>
      <c r="I792" s="2">
        <v>1.0225994477962983</v>
      </c>
      <c r="J792" s="3">
        <v>163762</v>
      </c>
      <c r="K792">
        <v>8.9859783301465903</v>
      </c>
      <c r="L792">
        <v>13.303377947737413</v>
      </c>
      <c r="M792">
        <v>96.9</v>
      </c>
    </row>
    <row r="793" spans="1:15" x14ac:dyDescent="0.25">
      <c r="A793" s="8" t="s">
        <v>170</v>
      </c>
      <c r="B793" s="1" t="s">
        <v>158</v>
      </c>
      <c r="C793" s="1">
        <v>2018</v>
      </c>
      <c r="D793" s="1">
        <v>3</v>
      </c>
      <c r="E793" s="1">
        <v>3</v>
      </c>
      <c r="F793" s="1">
        <v>3</v>
      </c>
      <c r="G793" s="1">
        <v>0</v>
      </c>
      <c r="H793" s="2">
        <v>1.01</v>
      </c>
      <c r="I793" s="2">
        <v>1.006137438374082</v>
      </c>
      <c r="J793" s="3">
        <v>165525</v>
      </c>
      <c r="K793">
        <v>8.9859783301465903</v>
      </c>
      <c r="L793">
        <v>13.303377947737413</v>
      </c>
      <c r="M793">
        <v>98</v>
      </c>
    </row>
    <row r="794" spans="1:15" x14ac:dyDescent="0.25">
      <c r="A794" s="8" t="s">
        <v>171</v>
      </c>
      <c r="B794" s="1" t="s">
        <v>158</v>
      </c>
      <c r="C794" s="1">
        <v>2014</v>
      </c>
      <c r="D794" s="1">
        <v>5</v>
      </c>
      <c r="E794" s="1">
        <v>5</v>
      </c>
      <c r="F794" s="1">
        <v>5</v>
      </c>
      <c r="G794" s="1">
        <v>0</v>
      </c>
      <c r="H794" s="2">
        <f>11186270/6511085</f>
        <v>1.7180347054292795</v>
      </c>
      <c r="I794" s="2">
        <f>(3147146+54111129)/54351155</f>
        <v>1.0534877317694538</v>
      </c>
      <c r="J794" s="3">
        <v>2112</v>
      </c>
      <c r="K794">
        <v>41.011235955056179</v>
      </c>
      <c r="L794">
        <v>2.3493360572012256</v>
      </c>
      <c r="M794">
        <v>0</v>
      </c>
    </row>
    <row r="795" spans="1:15" x14ac:dyDescent="0.25">
      <c r="A795" s="8" t="s">
        <v>171</v>
      </c>
      <c r="B795" s="1" t="s">
        <v>158</v>
      </c>
      <c r="C795" s="1">
        <v>2015</v>
      </c>
      <c r="D795" s="1">
        <v>5</v>
      </c>
      <c r="E795" s="1">
        <v>5</v>
      </c>
      <c r="F795" s="1">
        <v>5</v>
      </c>
      <c r="G795" s="1">
        <v>0</v>
      </c>
      <c r="H795" s="2">
        <v>0.57499999999999996</v>
      </c>
      <c r="I795" s="2">
        <v>1.0893246187363834</v>
      </c>
      <c r="J795" s="3">
        <v>2092</v>
      </c>
      <c r="K795">
        <v>41.011235955056179</v>
      </c>
      <c r="L795">
        <v>2.3493360572012256</v>
      </c>
      <c r="M795">
        <v>0</v>
      </c>
    </row>
    <row r="796" spans="1:15" x14ac:dyDescent="0.25">
      <c r="A796" t="s">
        <v>171</v>
      </c>
      <c r="B796" s="1" t="s">
        <v>158</v>
      </c>
      <c r="C796" s="1">
        <v>2016</v>
      </c>
      <c r="D796" s="1">
        <v>5</v>
      </c>
      <c r="E796" s="1">
        <v>5</v>
      </c>
      <c r="F796" s="1">
        <v>5</v>
      </c>
      <c r="G796" s="1">
        <v>0</v>
      </c>
      <c r="H796" s="2">
        <v>1.21</v>
      </c>
      <c r="I796" s="2">
        <v>0.88386070355312008</v>
      </c>
      <c r="J796" s="6">
        <v>1958</v>
      </c>
      <c r="K796" s="7">
        <v>41.011235955056179</v>
      </c>
      <c r="L796" s="7">
        <v>2.3493360572012256</v>
      </c>
      <c r="M796">
        <v>0</v>
      </c>
      <c r="O796" s="7"/>
    </row>
    <row r="797" spans="1:15" x14ac:dyDescent="0.25">
      <c r="A797" t="s">
        <v>171</v>
      </c>
      <c r="B797" s="1" t="s">
        <v>158</v>
      </c>
      <c r="C797" s="1">
        <v>2017</v>
      </c>
      <c r="D797" s="1">
        <v>5</v>
      </c>
      <c r="E797" s="1">
        <v>5</v>
      </c>
      <c r="F797" s="1">
        <v>5</v>
      </c>
      <c r="G797" s="1">
        <v>0</v>
      </c>
      <c r="H797" s="5">
        <v>0.88200000000000001</v>
      </c>
      <c r="I797" s="2">
        <v>1.0197838058331634</v>
      </c>
      <c r="J797" s="3">
        <v>1994</v>
      </c>
      <c r="K797">
        <v>41.011235955056179</v>
      </c>
      <c r="L797">
        <v>2.3493360572012256</v>
      </c>
      <c r="M797">
        <v>0</v>
      </c>
    </row>
    <row r="798" spans="1:15" x14ac:dyDescent="0.25">
      <c r="A798" s="8" t="s">
        <v>171</v>
      </c>
      <c r="B798" s="1" t="s">
        <v>158</v>
      </c>
      <c r="C798" s="1">
        <v>2018</v>
      </c>
      <c r="D798" s="1">
        <v>5</v>
      </c>
      <c r="E798" s="1">
        <v>5</v>
      </c>
      <c r="F798" s="1">
        <v>5</v>
      </c>
      <c r="G798" s="1">
        <v>0</v>
      </c>
      <c r="H798" s="2">
        <v>1.1859999999999999</v>
      </c>
      <c r="I798" s="2">
        <v>0.78057918975880114</v>
      </c>
      <c r="J798" s="3">
        <v>1974</v>
      </c>
      <c r="K798">
        <v>41.011235955056179</v>
      </c>
      <c r="L798">
        <v>2.3493360572012256</v>
      </c>
      <c r="M798">
        <v>0</v>
      </c>
    </row>
    <row r="799" spans="1:15" x14ac:dyDescent="0.25">
      <c r="A799" s="8" t="s">
        <v>172</v>
      </c>
      <c r="B799" s="1" t="s">
        <v>158</v>
      </c>
      <c r="C799" s="1">
        <v>2014</v>
      </c>
      <c r="D799" s="1">
        <v>3</v>
      </c>
      <c r="E799" s="1">
        <v>4</v>
      </c>
      <c r="F799" s="1">
        <v>3.5</v>
      </c>
      <c r="G799" s="1">
        <v>1</v>
      </c>
      <c r="H799" s="5">
        <v>2.1985000000000001</v>
      </c>
      <c r="I799" s="2">
        <f>1/1.0344</f>
        <v>0.96674400618716161</v>
      </c>
      <c r="J799" s="3">
        <v>29038</v>
      </c>
      <c r="K799">
        <v>9.7545691906005221</v>
      </c>
      <c r="L799">
        <v>9.7023498694516963</v>
      </c>
      <c r="M799">
        <v>6.2</v>
      </c>
    </row>
    <row r="800" spans="1:15" x14ac:dyDescent="0.25">
      <c r="A800" s="8" t="s">
        <v>172</v>
      </c>
      <c r="B800" s="1" t="s">
        <v>158</v>
      </c>
      <c r="C800" s="1">
        <v>2015</v>
      </c>
      <c r="D800" s="1">
        <v>3</v>
      </c>
      <c r="E800" s="1">
        <v>4</v>
      </c>
      <c r="F800" s="1">
        <v>3.5</v>
      </c>
      <c r="G800" s="1">
        <v>1</v>
      </c>
      <c r="H800" s="2">
        <v>0.91</v>
      </c>
      <c r="I800" s="2">
        <v>1.0199918400652794</v>
      </c>
      <c r="J800" s="3">
        <v>29098</v>
      </c>
      <c r="K800">
        <v>9.7545691906005221</v>
      </c>
      <c r="L800">
        <v>9.7023498694516963</v>
      </c>
      <c r="M800">
        <v>6.2</v>
      </c>
    </row>
    <row r="801" spans="1:15" x14ac:dyDescent="0.25">
      <c r="A801" t="s">
        <v>172</v>
      </c>
      <c r="B801" s="1" t="s">
        <v>158</v>
      </c>
      <c r="C801" s="1">
        <v>2016</v>
      </c>
      <c r="D801" s="1">
        <v>3</v>
      </c>
      <c r="E801" s="1">
        <v>4</v>
      </c>
      <c r="F801" s="1">
        <v>3.5</v>
      </c>
      <c r="G801" s="1">
        <v>1</v>
      </c>
      <c r="H801" s="2">
        <v>0.98</v>
      </c>
      <c r="I801" s="2">
        <v>1.0221813349688236</v>
      </c>
      <c r="J801" s="6">
        <v>28725</v>
      </c>
      <c r="K801" s="7">
        <v>9.7545691906005221</v>
      </c>
      <c r="L801" s="7">
        <v>9.7023498694516963</v>
      </c>
      <c r="M801">
        <v>6.2</v>
      </c>
      <c r="O801" s="7"/>
    </row>
    <row r="802" spans="1:15" x14ac:dyDescent="0.25">
      <c r="A802" t="s">
        <v>172</v>
      </c>
      <c r="B802" s="1" t="s">
        <v>158</v>
      </c>
      <c r="C802" s="1">
        <v>2017</v>
      </c>
      <c r="D802" s="1">
        <v>3</v>
      </c>
      <c r="E802" s="1">
        <v>4</v>
      </c>
      <c r="F802" s="1">
        <v>3.5</v>
      </c>
      <c r="G802" s="1">
        <v>1</v>
      </c>
      <c r="H802" s="5">
        <v>0.61</v>
      </c>
      <c r="I802" s="2">
        <v>0.96376252891287584</v>
      </c>
      <c r="J802" s="3">
        <v>29578</v>
      </c>
      <c r="K802">
        <v>9.7545691906005221</v>
      </c>
      <c r="L802">
        <v>9.7023498694516963</v>
      </c>
      <c r="M802">
        <v>6.3</v>
      </c>
    </row>
    <row r="803" spans="1:15" x14ac:dyDescent="0.25">
      <c r="A803" s="8" t="s">
        <v>172</v>
      </c>
      <c r="B803" s="1" t="s">
        <v>158</v>
      </c>
      <c r="C803" s="1">
        <v>2018</v>
      </c>
      <c r="D803" s="1">
        <v>3</v>
      </c>
      <c r="E803" s="1">
        <v>4</v>
      </c>
      <c r="F803" s="1">
        <v>3.5</v>
      </c>
      <c r="G803" s="1">
        <v>1</v>
      </c>
      <c r="H803" s="2">
        <v>0.76</v>
      </c>
      <c r="I803" s="2">
        <v>0.97866510080250535</v>
      </c>
      <c r="J803" s="3">
        <v>29689</v>
      </c>
      <c r="K803">
        <v>9.7545691906005221</v>
      </c>
      <c r="L803">
        <v>9.7023498694516963</v>
      </c>
      <c r="M803">
        <v>6.3</v>
      </c>
    </row>
    <row r="804" spans="1:15" x14ac:dyDescent="0.25">
      <c r="A804" s="8" t="s">
        <v>173</v>
      </c>
      <c r="B804" s="1" t="s">
        <v>158</v>
      </c>
      <c r="C804" s="1">
        <v>2014</v>
      </c>
      <c r="D804" s="9">
        <v>3</v>
      </c>
      <c r="E804" s="9">
        <v>5</v>
      </c>
      <c r="F804" s="9">
        <v>4</v>
      </c>
      <c r="G804" s="1">
        <v>2</v>
      </c>
      <c r="H804" s="5">
        <v>0.28920000000000001</v>
      </c>
      <c r="I804" s="2">
        <f>1/0.9574</f>
        <v>1.0444955086693126</v>
      </c>
      <c r="J804" s="3">
        <v>29598</v>
      </c>
      <c r="K804">
        <v>4.3425469609313625</v>
      </c>
      <c r="L804">
        <v>4.6532390543532607</v>
      </c>
      <c r="M804">
        <v>0.5</v>
      </c>
    </row>
    <row r="805" spans="1:15" x14ac:dyDescent="0.25">
      <c r="A805" s="8" t="s">
        <v>173</v>
      </c>
      <c r="B805" s="1" t="s">
        <v>158</v>
      </c>
      <c r="C805" s="1">
        <v>2015</v>
      </c>
      <c r="D805" s="9">
        <v>3</v>
      </c>
      <c r="E805" s="9">
        <v>5</v>
      </c>
      <c r="F805" s="9">
        <v>4</v>
      </c>
      <c r="G805" s="1">
        <v>2</v>
      </c>
      <c r="H805" s="2">
        <v>0.93480000000000008</v>
      </c>
      <c r="I805" s="2">
        <v>1.1340440009072352</v>
      </c>
      <c r="J805" s="3">
        <v>29143</v>
      </c>
      <c r="K805">
        <v>4.3425469609313625</v>
      </c>
      <c r="L805">
        <v>4.6532390543532607</v>
      </c>
      <c r="M805">
        <v>0.5</v>
      </c>
    </row>
    <row r="806" spans="1:15" x14ac:dyDescent="0.25">
      <c r="A806" s="10" t="s">
        <v>173</v>
      </c>
      <c r="B806" s="9" t="s">
        <v>158</v>
      </c>
      <c r="C806" s="1">
        <v>2016</v>
      </c>
      <c r="D806" s="9">
        <v>3</v>
      </c>
      <c r="E806" s="9">
        <v>5</v>
      </c>
      <c r="F806" s="9">
        <v>4</v>
      </c>
      <c r="G806" s="1">
        <v>2</v>
      </c>
      <c r="H806" s="2">
        <v>1.3361000000000001</v>
      </c>
      <c r="I806" s="2">
        <v>1.1184431271669835</v>
      </c>
      <c r="J806" s="6">
        <v>28002</v>
      </c>
      <c r="K806" s="7">
        <v>4.3425469609313625</v>
      </c>
      <c r="L806" s="7">
        <v>4.6532390543532607</v>
      </c>
      <c r="M806">
        <v>0.5</v>
      </c>
      <c r="O806" s="7"/>
    </row>
    <row r="807" spans="1:15" x14ac:dyDescent="0.25">
      <c r="A807" s="10" t="s">
        <v>173</v>
      </c>
      <c r="B807" s="9" t="s">
        <v>158</v>
      </c>
      <c r="C807" s="1">
        <v>2017</v>
      </c>
      <c r="D807" s="9">
        <v>3</v>
      </c>
      <c r="E807" s="9">
        <v>5</v>
      </c>
      <c r="F807" s="9">
        <v>4</v>
      </c>
      <c r="G807" s="1">
        <v>2</v>
      </c>
      <c r="H807" s="5">
        <v>0.92559999999999998</v>
      </c>
      <c r="I807" s="2">
        <v>1.0475591870940708</v>
      </c>
      <c r="J807" s="3">
        <v>28604</v>
      </c>
      <c r="K807">
        <v>4.3425469609313625</v>
      </c>
      <c r="L807">
        <v>4.6532390543532607</v>
      </c>
      <c r="M807">
        <v>0.5</v>
      </c>
    </row>
    <row r="808" spans="1:15" x14ac:dyDescent="0.25">
      <c r="A808" s="8" t="s">
        <v>173</v>
      </c>
      <c r="B808" s="1" t="s">
        <v>158</v>
      </c>
      <c r="C808" s="1">
        <v>2018</v>
      </c>
      <c r="D808" s="9">
        <v>3</v>
      </c>
      <c r="E808" s="9">
        <v>5</v>
      </c>
      <c r="F808" s="9">
        <v>4</v>
      </c>
      <c r="G808" s="1">
        <v>2</v>
      </c>
      <c r="H808" s="2">
        <v>0.83520000000000005</v>
      </c>
      <c r="I808" s="2">
        <v>0.98483356312783132</v>
      </c>
      <c r="J808" s="3">
        <v>28645</v>
      </c>
      <c r="K808">
        <v>4.3425469609313625</v>
      </c>
      <c r="L808">
        <v>4.6532390543532607</v>
      </c>
      <c r="M808">
        <v>0.5</v>
      </c>
    </row>
    <row r="809" spans="1:15" x14ac:dyDescent="0.25">
      <c r="A809" s="8" t="s">
        <v>174</v>
      </c>
      <c r="B809" s="1" t="s">
        <v>158</v>
      </c>
      <c r="C809" s="1">
        <v>2014</v>
      </c>
      <c r="D809" s="9">
        <v>3</v>
      </c>
      <c r="E809" s="9">
        <v>5</v>
      </c>
      <c r="F809" s="9">
        <v>4</v>
      </c>
      <c r="G809" s="1">
        <v>2</v>
      </c>
      <c r="H809" s="5">
        <v>1.1738999999999999</v>
      </c>
      <c r="I809" s="2">
        <f>1/1.2506</f>
        <v>0.79961618423156888</v>
      </c>
      <c r="J809" s="3">
        <v>12367</v>
      </c>
      <c r="K809">
        <v>8.6608871307129043</v>
      </c>
      <c r="L809">
        <v>2.0705327834357377</v>
      </c>
      <c r="M809">
        <v>0.2</v>
      </c>
    </row>
    <row r="810" spans="1:15" x14ac:dyDescent="0.25">
      <c r="A810" s="8" t="s">
        <v>174</v>
      </c>
      <c r="B810" s="1" t="s">
        <v>158</v>
      </c>
      <c r="C810" s="1">
        <v>2015</v>
      </c>
      <c r="D810" s="9">
        <v>3</v>
      </c>
      <c r="E810" s="9">
        <v>5</v>
      </c>
      <c r="F810" s="9">
        <v>4</v>
      </c>
      <c r="G810" s="1">
        <v>2</v>
      </c>
      <c r="H810" s="2">
        <v>0.56999999999999995</v>
      </c>
      <c r="I810" s="2">
        <v>0.84146751935375286</v>
      </c>
      <c r="J810" s="3">
        <v>12235</v>
      </c>
      <c r="K810">
        <v>8.6608871307129043</v>
      </c>
      <c r="L810">
        <v>2.0705327834357377</v>
      </c>
      <c r="M810">
        <v>0.2</v>
      </c>
    </row>
    <row r="811" spans="1:15" x14ac:dyDescent="0.25">
      <c r="A811" s="10" t="s">
        <v>174</v>
      </c>
      <c r="B811" s="9" t="s">
        <v>158</v>
      </c>
      <c r="C811" s="1">
        <v>2016</v>
      </c>
      <c r="D811" s="9">
        <v>3</v>
      </c>
      <c r="E811" s="9">
        <v>5</v>
      </c>
      <c r="F811" s="9">
        <v>4</v>
      </c>
      <c r="G811" s="1">
        <v>2</v>
      </c>
      <c r="H811" s="2">
        <v>1.42</v>
      </c>
      <c r="I811" s="2">
        <v>0.98048828316501613</v>
      </c>
      <c r="J811" s="6">
        <v>11881</v>
      </c>
      <c r="K811" s="7">
        <v>8.6608871307129043</v>
      </c>
      <c r="L811" s="7">
        <v>2.0705327834357377</v>
      </c>
      <c r="M811">
        <v>0.2</v>
      </c>
      <c r="O811" s="7"/>
    </row>
    <row r="812" spans="1:15" x14ac:dyDescent="0.25">
      <c r="A812" s="10" t="s">
        <v>174</v>
      </c>
      <c r="B812" s="9" t="s">
        <v>158</v>
      </c>
      <c r="C812" s="1">
        <v>2017</v>
      </c>
      <c r="D812" s="9">
        <v>3</v>
      </c>
      <c r="E812" s="9">
        <v>5</v>
      </c>
      <c r="F812" s="9">
        <v>4</v>
      </c>
      <c r="G812" s="1">
        <v>2</v>
      </c>
      <c r="H812" s="5">
        <v>1.1200000000000001</v>
      </c>
      <c r="I812" s="2">
        <v>1.0188487009679061</v>
      </c>
      <c r="J812" s="3">
        <v>11967</v>
      </c>
      <c r="K812">
        <v>8.6608871307129043</v>
      </c>
      <c r="L812">
        <v>2.0705327834357377</v>
      </c>
      <c r="M812">
        <v>0.2</v>
      </c>
    </row>
    <row r="813" spans="1:15" x14ac:dyDescent="0.25">
      <c r="A813" s="8" t="s">
        <v>174</v>
      </c>
      <c r="B813" s="1" t="s">
        <v>158</v>
      </c>
      <c r="C813" s="1">
        <v>2018</v>
      </c>
      <c r="D813" s="9">
        <v>3</v>
      </c>
      <c r="E813" s="9">
        <v>5</v>
      </c>
      <c r="F813" s="9">
        <v>4</v>
      </c>
      <c r="G813" s="1">
        <v>2</v>
      </c>
      <c r="H813" s="2">
        <v>1.73</v>
      </c>
      <c r="I813" s="2">
        <v>0.94894666919719106</v>
      </c>
      <c r="J813" s="3">
        <v>11850</v>
      </c>
      <c r="K813">
        <v>8.6608871307129043</v>
      </c>
      <c r="L813">
        <v>2.0705327834357377</v>
      </c>
      <c r="M813">
        <v>0.2</v>
      </c>
    </row>
    <row r="814" spans="1:15" x14ac:dyDescent="0.25">
      <c r="A814" s="8" t="s">
        <v>175</v>
      </c>
      <c r="B814" s="1" t="s">
        <v>158</v>
      </c>
      <c r="C814" s="1">
        <v>2014</v>
      </c>
      <c r="D814" s="1">
        <v>2</v>
      </c>
      <c r="E814" s="1">
        <v>2</v>
      </c>
      <c r="F814" s="1">
        <v>2</v>
      </c>
      <c r="G814" s="1">
        <v>0</v>
      </c>
      <c r="H814" s="5">
        <v>1.0126999999999999</v>
      </c>
      <c r="I814" s="2">
        <f>1/1.2843</f>
        <v>0.77863427548080666</v>
      </c>
      <c r="J814" s="3">
        <v>1300</v>
      </c>
      <c r="K814">
        <v>98.4</v>
      </c>
      <c r="L814">
        <v>3.9</v>
      </c>
      <c r="M814">
        <v>41.1</v>
      </c>
    </row>
    <row r="815" spans="1:15" x14ac:dyDescent="0.25">
      <c r="A815" s="8" t="s">
        <v>175</v>
      </c>
      <c r="B815" s="1" t="s">
        <v>158</v>
      </c>
      <c r="C815" s="1">
        <v>2015</v>
      </c>
      <c r="D815" s="1">
        <v>2</v>
      </c>
      <c r="E815" s="1">
        <v>2</v>
      </c>
      <c r="F815" s="1">
        <v>2</v>
      </c>
      <c r="G815" s="1">
        <v>0</v>
      </c>
      <c r="H815" s="2">
        <v>1.76</v>
      </c>
      <c r="I815" s="2">
        <v>1.0595465140919686</v>
      </c>
      <c r="J815" s="3">
        <v>1304</v>
      </c>
      <c r="K815">
        <v>98.4</v>
      </c>
      <c r="L815">
        <v>3.9</v>
      </c>
      <c r="M815">
        <v>41.3</v>
      </c>
    </row>
    <row r="816" spans="1:15" x14ac:dyDescent="0.25">
      <c r="A816" t="s">
        <v>175</v>
      </c>
      <c r="B816" s="1" t="s">
        <v>158</v>
      </c>
      <c r="C816" s="1">
        <v>2016</v>
      </c>
      <c r="D816" s="1">
        <v>2</v>
      </c>
      <c r="E816" s="1">
        <v>2</v>
      </c>
      <c r="F816" s="1">
        <v>2</v>
      </c>
      <c r="G816" s="1">
        <v>0</v>
      </c>
      <c r="H816" s="5">
        <v>0</v>
      </c>
      <c r="I816" s="2">
        <v>0.81116158338741073</v>
      </c>
      <c r="J816" s="3">
        <v>1293</v>
      </c>
      <c r="K816" s="11">
        <v>98.4</v>
      </c>
      <c r="L816" s="11">
        <v>3.9</v>
      </c>
      <c r="M816">
        <v>40.9</v>
      </c>
      <c r="O816" s="7"/>
    </row>
    <row r="817" spans="1:15" x14ac:dyDescent="0.25">
      <c r="A817" t="s">
        <v>175</v>
      </c>
      <c r="B817" s="1" t="s">
        <v>158</v>
      </c>
      <c r="C817" s="1">
        <v>2017</v>
      </c>
      <c r="D817" s="1">
        <v>2</v>
      </c>
      <c r="E817" s="1">
        <v>2</v>
      </c>
      <c r="F817" s="1">
        <v>2</v>
      </c>
      <c r="G817" s="1">
        <v>0</v>
      </c>
      <c r="H817" s="5">
        <v>0.53</v>
      </c>
      <c r="I817" s="2">
        <v>0.76289288983826675</v>
      </c>
      <c r="J817" s="3">
        <v>1312</v>
      </c>
      <c r="K817">
        <v>98.4</v>
      </c>
      <c r="L817">
        <v>3.9</v>
      </c>
      <c r="M817">
        <v>41.5</v>
      </c>
    </row>
    <row r="818" spans="1:15" x14ac:dyDescent="0.25">
      <c r="A818" s="8" t="s">
        <v>175</v>
      </c>
      <c r="B818" s="1" t="s">
        <v>158</v>
      </c>
      <c r="C818" s="1">
        <v>2018</v>
      </c>
      <c r="D818" s="1">
        <v>2</v>
      </c>
      <c r="E818" s="1">
        <v>2</v>
      </c>
      <c r="F818" s="1">
        <v>2</v>
      </c>
      <c r="G818" s="1">
        <v>0</v>
      </c>
      <c r="H818" s="2">
        <v>0.75</v>
      </c>
      <c r="I818" s="2">
        <v>0.76881679095871458</v>
      </c>
      <c r="J818" s="3">
        <v>1315</v>
      </c>
      <c r="K818">
        <v>98.4</v>
      </c>
      <c r="L818">
        <v>3.9</v>
      </c>
      <c r="M818">
        <v>41.6</v>
      </c>
    </row>
    <row r="819" spans="1:15" x14ac:dyDescent="0.25">
      <c r="A819" s="8" t="s">
        <v>176</v>
      </c>
      <c r="B819" s="1" t="s">
        <v>158</v>
      </c>
      <c r="C819" s="1">
        <v>2014</v>
      </c>
      <c r="D819" s="1">
        <v>4</v>
      </c>
      <c r="E819" s="1">
        <v>5</v>
      </c>
      <c r="F819" s="1">
        <v>4.5</v>
      </c>
      <c r="G819" s="1">
        <v>1</v>
      </c>
      <c r="H819" s="5">
        <v>1.8411</v>
      </c>
      <c r="I819" s="2">
        <f>1/0.9353</f>
        <v>1.0691756655618518</v>
      </c>
      <c r="J819" s="3">
        <v>3270</v>
      </c>
      <c r="K819">
        <v>22.698779280765425</v>
      </c>
      <c r="L819">
        <v>3.9590894094358302</v>
      </c>
      <c r="M819">
        <v>0.1</v>
      </c>
    </row>
    <row r="820" spans="1:15" x14ac:dyDescent="0.25">
      <c r="A820" s="8" t="s">
        <v>176</v>
      </c>
      <c r="B820" s="1" t="s">
        <v>158</v>
      </c>
      <c r="C820" s="1">
        <v>2015</v>
      </c>
      <c r="D820" s="1">
        <v>4</v>
      </c>
      <c r="E820" s="1">
        <v>5</v>
      </c>
      <c r="F820" s="1">
        <v>4.5</v>
      </c>
      <c r="G820" s="1">
        <v>1</v>
      </c>
      <c r="H820" s="2">
        <v>0.63</v>
      </c>
      <c r="I820" s="2">
        <v>1.0055304172951232</v>
      </c>
      <c r="J820" s="3">
        <v>3179</v>
      </c>
      <c r="K820">
        <v>22.698779280765425</v>
      </c>
      <c r="L820">
        <v>3.9590894094358302</v>
      </c>
      <c r="M820">
        <v>0.1</v>
      </c>
    </row>
    <row r="821" spans="1:15" x14ac:dyDescent="0.25">
      <c r="A821" t="s">
        <v>176</v>
      </c>
      <c r="B821" s="1" t="s">
        <v>158</v>
      </c>
      <c r="C821" s="1">
        <v>2016</v>
      </c>
      <c r="D821" s="1">
        <v>4</v>
      </c>
      <c r="E821" s="1">
        <v>5</v>
      </c>
      <c r="F821" s="1">
        <v>4.5</v>
      </c>
      <c r="G821" s="1">
        <v>1</v>
      </c>
      <c r="H821" s="2">
        <v>1.22</v>
      </c>
      <c r="I821" s="2">
        <v>0.9530162965786716</v>
      </c>
      <c r="J821" s="6">
        <v>3031</v>
      </c>
      <c r="K821" s="7">
        <v>22.698779280765425</v>
      </c>
      <c r="L821" s="7">
        <v>3.9590894094358302</v>
      </c>
      <c r="M821">
        <v>0.1</v>
      </c>
      <c r="O821" s="7"/>
    </row>
    <row r="822" spans="1:15" x14ac:dyDescent="0.25">
      <c r="A822" t="s">
        <v>176</v>
      </c>
      <c r="B822" s="1" t="s">
        <v>158</v>
      </c>
      <c r="C822" s="1">
        <v>2017</v>
      </c>
      <c r="D822" s="1">
        <v>4</v>
      </c>
      <c r="E822" s="1">
        <v>5</v>
      </c>
      <c r="F822" s="1">
        <v>4.5</v>
      </c>
      <c r="G822" s="1">
        <v>1</v>
      </c>
      <c r="H822" s="5">
        <v>2.83</v>
      </c>
      <c r="I822" s="2">
        <v>1.0267994660642776</v>
      </c>
      <c r="J822" s="3">
        <v>3132</v>
      </c>
      <c r="K822">
        <v>22.698779280765425</v>
      </c>
      <c r="L822">
        <v>3.9590894094358302</v>
      </c>
      <c r="M822">
        <v>0.1</v>
      </c>
    </row>
    <row r="823" spans="1:15" x14ac:dyDescent="0.25">
      <c r="A823" s="8" t="s">
        <v>176</v>
      </c>
      <c r="B823" s="1" t="s">
        <v>158</v>
      </c>
      <c r="C823" s="1">
        <v>2018</v>
      </c>
      <c r="D823" s="1">
        <v>4</v>
      </c>
      <c r="E823" s="1">
        <v>5</v>
      </c>
      <c r="F823" s="1">
        <v>4.5</v>
      </c>
      <c r="G823" s="1">
        <v>1</v>
      </c>
      <c r="H823" s="2">
        <v>1.37</v>
      </c>
      <c r="I823" s="2">
        <v>0.93475415965601039</v>
      </c>
      <c r="J823" s="3">
        <v>3091</v>
      </c>
      <c r="K823">
        <v>22.698779280765425</v>
      </c>
      <c r="L823">
        <v>3.9590894094358302</v>
      </c>
      <c r="M823">
        <v>0.1</v>
      </c>
    </row>
    <row r="824" spans="1:15" x14ac:dyDescent="0.25">
      <c r="A824" s="8" t="s">
        <v>177</v>
      </c>
      <c r="B824" s="1" t="s">
        <v>158</v>
      </c>
      <c r="C824" s="1">
        <v>2014</v>
      </c>
      <c r="D824" s="1">
        <v>4</v>
      </c>
      <c r="E824" s="1">
        <v>5</v>
      </c>
      <c r="F824" s="1">
        <v>4.5</v>
      </c>
      <c r="G824" s="1">
        <v>1</v>
      </c>
      <c r="H824" s="5">
        <v>3.2284999999999999</v>
      </c>
      <c r="I824" s="2">
        <f>1/1.7974</f>
        <v>0.5563591854901524</v>
      </c>
      <c r="J824" s="3">
        <v>4065</v>
      </c>
      <c r="K824">
        <v>21.909047844623402</v>
      </c>
      <c r="L824">
        <v>8.9057318806252965</v>
      </c>
      <c r="M824">
        <v>0</v>
      </c>
    </row>
    <row r="825" spans="1:15" x14ac:dyDescent="0.25">
      <c r="A825" s="8" t="s">
        <v>177</v>
      </c>
      <c r="B825" s="1" t="s">
        <v>158</v>
      </c>
      <c r="C825" s="1">
        <v>2015</v>
      </c>
      <c r="D825" s="1">
        <v>4</v>
      </c>
      <c r="E825" s="1">
        <v>5</v>
      </c>
      <c r="F825" s="1">
        <v>4.5</v>
      </c>
      <c r="G825" s="1">
        <v>1</v>
      </c>
      <c r="H825" s="2">
        <v>4.2880000000000003</v>
      </c>
      <c r="I825" s="2">
        <v>0.69526524369046794</v>
      </c>
      <c r="J825" s="3">
        <v>4217</v>
      </c>
      <c r="K825">
        <v>21.909047844623402</v>
      </c>
      <c r="L825">
        <v>8.9057318806252965</v>
      </c>
      <c r="M825">
        <v>0</v>
      </c>
    </row>
    <row r="826" spans="1:15" x14ac:dyDescent="0.25">
      <c r="A826" t="s">
        <v>177</v>
      </c>
      <c r="B826" s="1" t="s">
        <v>158</v>
      </c>
      <c r="C826" s="1">
        <v>2016</v>
      </c>
      <c r="D826" s="1">
        <v>4</v>
      </c>
      <c r="E826" s="1">
        <v>5</v>
      </c>
      <c r="F826" s="1">
        <v>4.5</v>
      </c>
      <c r="G826" s="1">
        <v>1</v>
      </c>
      <c r="H826" s="2">
        <v>3.7423000000000002</v>
      </c>
      <c r="I826" s="2">
        <v>0.66343793538114515</v>
      </c>
      <c r="J826" s="6">
        <v>4222</v>
      </c>
      <c r="K826" s="7">
        <v>21.909047844623402</v>
      </c>
      <c r="L826" s="7">
        <v>8.9057318806252965</v>
      </c>
      <c r="M826">
        <v>0</v>
      </c>
      <c r="O826" s="7"/>
    </row>
    <row r="827" spans="1:15" x14ac:dyDescent="0.25">
      <c r="A827" t="s">
        <v>177</v>
      </c>
      <c r="B827" s="1" t="s">
        <v>158</v>
      </c>
      <c r="C827" s="1">
        <v>2017</v>
      </c>
      <c r="D827" s="1">
        <v>4</v>
      </c>
      <c r="E827" s="1">
        <v>5</v>
      </c>
      <c r="F827" s="1">
        <v>4.5</v>
      </c>
      <c r="G827" s="1">
        <v>1</v>
      </c>
      <c r="H827" s="5">
        <v>3.7675000000000001</v>
      </c>
      <c r="I827" s="2">
        <v>0.78345346286430584</v>
      </c>
      <c r="J827" s="3">
        <v>4344</v>
      </c>
      <c r="K827">
        <v>21.909047844623402</v>
      </c>
      <c r="L827">
        <v>8.9057318806252965</v>
      </c>
      <c r="M827">
        <v>0</v>
      </c>
    </row>
    <row r="828" spans="1:15" x14ac:dyDescent="0.25">
      <c r="A828" s="8" t="s">
        <v>177</v>
      </c>
      <c r="B828" s="1" t="s">
        <v>158</v>
      </c>
      <c r="C828" s="1">
        <v>2018</v>
      </c>
      <c r="D828" s="1">
        <v>4</v>
      </c>
      <c r="E828" s="1">
        <v>5</v>
      </c>
      <c r="F828" s="1">
        <v>4.5</v>
      </c>
      <c r="G828" s="1">
        <v>1</v>
      </c>
      <c r="H828" s="2">
        <v>2.2456</v>
      </c>
      <c r="I828" s="2">
        <v>0.74883929908641611</v>
      </c>
      <c r="J828" s="3">
        <v>4445</v>
      </c>
      <c r="K828">
        <v>21.909047844623402</v>
      </c>
      <c r="L828">
        <v>8.9057318806252965</v>
      </c>
      <c r="M828">
        <v>0</v>
      </c>
    </row>
    <row r="829" spans="1:15" x14ac:dyDescent="0.25">
      <c r="A829" s="8" t="s">
        <v>178</v>
      </c>
      <c r="B829" s="1" t="s">
        <v>158</v>
      </c>
      <c r="C829" s="1">
        <v>2014</v>
      </c>
      <c r="D829" s="1">
        <v>5</v>
      </c>
      <c r="E829" s="1">
        <v>5</v>
      </c>
      <c r="F829" s="1">
        <v>5</v>
      </c>
      <c r="G829" s="1">
        <v>0</v>
      </c>
      <c r="H829" s="5">
        <v>1.4547000000000001</v>
      </c>
      <c r="I829" s="2">
        <f>1/0.9367</f>
        <v>1.0675776662752217</v>
      </c>
      <c r="J829" s="3">
        <v>303</v>
      </c>
      <c r="K829">
        <v>17.123287671232877</v>
      </c>
      <c r="L829">
        <v>0</v>
      </c>
      <c r="M829">
        <v>0</v>
      </c>
    </row>
    <row r="830" spans="1:15" x14ac:dyDescent="0.25">
      <c r="A830" s="8" t="s">
        <v>178</v>
      </c>
      <c r="B830" s="1" t="s">
        <v>158</v>
      </c>
      <c r="C830" s="1">
        <v>2015</v>
      </c>
      <c r="D830" s="1">
        <v>5</v>
      </c>
      <c r="E830" s="1">
        <v>5</v>
      </c>
      <c r="F830" s="1">
        <v>5</v>
      </c>
      <c r="G830" s="1">
        <v>0</v>
      </c>
      <c r="H830" s="2">
        <v>1.0900000000000001</v>
      </c>
      <c r="I830" s="2">
        <v>1.1440338634023568</v>
      </c>
      <c r="J830" s="3">
        <v>297</v>
      </c>
      <c r="K830">
        <v>17.123287671232877</v>
      </c>
      <c r="L830">
        <v>0</v>
      </c>
      <c r="M830">
        <v>0</v>
      </c>
    </row>
    <row r="831" spans="1:15" x14ac:dyDescent="0.25">
      <c r="A831" t="s">
        <v>178</v>
      </c>
      <c r="B831" s="1" t="s">
        <v>158</v>
      </c>
      <c r="C831" s="1">
        <v>2016</v>
      </c>
      <c r="D831" s="1">
        <v>5</v>
      </c>
      <c r="E831" s="1">
        <v>5</v>
      </c>
      <c r="F831" s="1">
        <v>5</v>
      </c>
      <c r="G831" s="1">
        <v>0</v>
      </c>
      <c r="H831" s="2">
        <v>1.43</v>
      </c>
      <c r="I831" s="2">
        <v>0.9391435011269722</v>
      </c>
      <c r="J831" s="6">
        <v>292</v>
      </c>
      <c r="K831" s="7">
        <v>17.123287671232877</v>
      </c>
      <c r="L831" s="7">
        <v>0</v>
      </c>
      <c r="M831">
        <v>0</v>
      </c>
      <c r="O831" s="7"/>
    </row>
    <row r="832" spans="1:15" x14ac:dyDescent="0.25">
      <c r="A832" t="s">
        <v>178</v>
      </c>
      <c r="B832" s="1" t="s">
        <v>158</v>
      </c>
      <c r="C832" s="1">
        <v>2017</v>
      </c>
      <c r="D832" s="1">
        <v>5</v>
      </c>
      <c r="E832" s="1">
        <v>5</v>
      </c>
      <c r="F832" s="1">
        <v>5</v>
      </c>
      <c r="G832" s="1">
        <v>0</v>
      </c>
      <c r="H832" s="5">
        <v>0.89</v>
      </c>
      <c r="I832" s="2">
        <v>1.1004732034774953</v>
      </c>
      <c r="J832" s="3">
        <v>292</v>
      </c>
      <c r="K832">
        <v>17.123287671232877</v>
      </c>
      <c r="L832">
        <v>0</v>
      </c>
      <c r="M832">
        <v>0</v>
      </c>
    </row>
    <row r="833" spans="1:15" x14ac:dyDescent="0.25">
      <c r="A833" s="8" t="s">
        <v>178</v>
      </c>
      <c r="B833" s="1" t="s">
        <v>158</v>
      </c>
      <c r="C833" s="1">
        <v>2018</v>
      </c>
      <c r="D833" s="1">
        <v>5</v>
      </c>
      <c r="E833" s="1">
        <v>5</v>
      </c>
      <c r="F833" s="1">
        <v>5</v>
      </c>
      <c r="G833" s="1">
        <v>0</v>
      </c>
      <c r="H833" s="2">
        <v>2.02</v>
      </c>
      <c r="I833" s="2">
        <v>1.051967178624027</v>
      </c>
      <c r="J833" s="3">
        <v>288</v>
      </c>
      <c r="K833">
        <v>17.123287671232877</v>
      </c>
      <c r="L833">
        <v>0</v>
      </c>
      <c r="M833">
        <v>0</v>
      </c>
    </row>
    <row r="834" spans="1:15" x14ac:dyDescent="0.25">
      <c r="A834" s="8" t="s">
        <v>179</v>
      </c>
      <c r="B834" s="1" t="s">
        <v>158</v>
      </c>
      <c r="C834" s="1">
        <v>2014</v>
      </c>
      <c r="D834" s="1">
        <v>5</v>
      </c>
      <c r="E834" s="1">
        <v>5</v>
      </c>
      <c r="F834" s="1">
        <v>5</v>
      </c>
      <c r="G834" s="1">
        <v>0</v>
      </c>
      <c r="H834" s="5">
        <v>3.7677999999999998</v>
      </c>
      <c r="I834" s="2">
        <f>1/0.9009</f>
        <v>1.11000111000111</v>
      </c>
      <c r="J834" s="3">
        <v>303</v>
      </c>
      <c r="K834">
        <v>16.027874564459928</v>
      </c>
      <c r="L834">
        <v>1.0452961672473868</v>
      </c>
      <c r="M834">
        <v>0</v>
      </c>
    </row>
    <row r="835" spans="1:15" x14ac:dyDescent="0.25">
      <c r="A835" s="8" t="s">
        <v>179</v>
      </c>
      <c r="B835" s="1" t="s">
        <v>158</v>
      </c>
      <c r="C835" s="1">
        <v>2015</v>
      </c>
      <c r="D835" s="1">
        <v>5</v>
      </c>
      <c r="E835" s="1">
        <v>5</v>
      </c>
      <c r="F835" s="1">
        <v>5</v>
      </c>
      <c r="G835" s="1">
        <v>0</v>
      </c>
      <c r="H835" s="2">
        <v>0.66090000000000004</v>
      </c>
      <c r="I835" s="2">
        <v>0.77255871446229918</v>
      </c>
      <c r="J835" s="3">
        <v>301</v>
      </c>
      <c r="K835">
        <v>16.027874564459928</v>
      </c>
      <c r="L835">
        <v>1.0452961672473868</v>
      </c>
      <c r="M835">
        <v>0</v>
      </c>
    </row>
    <row r="836" spans="1:15" x14ac:dyDescent="0.25">
      <c r="A836" t="s">
        <v>179</v>
      </c>
      <c r="B836" s="1" t="s">
        <v>158</v>
      </c>
      <c r="C836" s="1">
        <v>2016</v>
      </c>
      <c r="D836" s="1">
        <v>5</v>
      </c>
      <c r="E836" s="1">
        <v>5</v>
      </c>
      <c r="F836" s="1">
        <v>5</v>
      </c>
      <c r="G836" s="1">
        <v>0</v>
      </c>
      <c r="H836" s="2">
        <v>0.41599999999999998</v>
      </c>
      <c r="I836" s="2">
        <v>0.89694142972463897</v>
      </c>
      <c r="J836" s="6">
        <v>287</v>
      </c>
      <c r="K836" s="7">
        <v>16.027874564459928</v>
      </c>
      <c r="L836" s="7">
        <v>1.0452961672473868</v>
      </c>
      <c r="M836">
        <v>0</v>
      </c>
      <c r="O836" s="7"/>
    </row>
    <row r="837" spans="1:15" x14ac:dyDescent="0.25">
      <c r="A837" t="s">
        <v>179</v>
      </c>
      <c r="B837" s="1" t="s">
        <v>158</v>
      </c>
      <c r="C837" s="1">
        <v>2017</v>
      </c>
      <c r="D837" s="1">
        <v>5</v>
      </c>
      <c r="E837" s="1">
        <v>5</v>
      </c>
      <c r="F837" s="1">
        <v>5</v>
      </c>
      <c r="G837" s="1">
        <v>0</v>
      </c>
      <c r="H837" s="5">
        <v>1.5681</v>
      </c>
      <c r="I837" s="2">
        <v>0.82392683529702559</v>
      </c>
      <c r="J837" s="3">
        <v>287</v>
      </c>
      <c r="K837">
        <v>16.027874564459928</v>
      </c>
      <c r="L837">
        <v>1.0452961672473868</v>
      </c>
      <c r="M837">
        <v>0</v>
      </c>
    </row>
    <row r="838" spans="1:15" x14ac:dyDescent="0.25">
      <c r="A838" s="8" t="s">
        <v>179</v>
      </c>
      <c r="B838" s="1" t="s">
        <v>158</v>
      </c>
      <c r="C838" s="1">
        <v>2018</v>
      </c>
      <c r="D838" s="1">
        <v>5</v>
      </c>
      <c r="E838" s="1">
        <v>5</v>
      </c>
      <c r="F838" s="1">
        <v>5</v>
      </c>
      <c r="G838" s="1">
        <v>0</v>
      </c>
      <c r="H838" s="2">
        <v>0.79100000000000004</v>
      </c>
      <c r="I838" s="2">
        <v>0.86073334480977792</v>
      </c>
      <c r="J838" s="3">
        <v>292</v>
      </c>
      <c r="K838">
        <v>16.027874564459928</v>
      </c>
      <c r="L838">
        <v>1.0452961672473868</v>
      </c>
      <c r="M838">
        <v>0</v>
      </c>
    </row>
    <row r="839" spans="1:15" x14ac:dyDescent="0.25">
      <c r="A839" s="8" t="s">
        <v>180</v>
      </c>
      <c r="B839" s="1" t="s">
        <v>158</v>
      </c>
      <c r="C839" s="1">
        <v>2014</v>
      </c>
      <c r="D839" s="1">
        <v>5</v>
      </c>
      <c r="E839" s="1">
        <v>5</v>
      </c>
      <c r="F839" s="1">
        <v>5</v>
      </c>
      <c r="G839" s="1">
        <v>0</v>
      </c>
      <c r="H839" s="5">
        <v>0.3589</v>
      </c>
      <c r="I839" s="2">
        <f>1/0.6588</f>
        <v>1.5179113539769276</v>
      </c>
      <c r="J839" s="3">
        <v>1422</v>
      </c>
      <c r="K839">
        <v>93.5</v>
      </c>
      <c r="L839">
        <v>5.4</v>
      </c>
      <c r="M839">
        <v>0.8</v>
      </c>
    </row>
    <row r="840" spans="1:15" x14ac:dyDescent="0.25">
      <c r="A840" s="8" t="s">
        <v>180</v>
      </c>
      <c r="B840" s="1" t="s">
        <v>158</v>
      </c>
      <c r="C840" s="1">
        <v>2015</v>
      </c>
      <c r="D840" s="1">
        <v>5</v>
      </c>
      <c r="E840" s="1">
        <v>5</v>
      </c>
      <c r="F840" s="1">
        <v>5</v>
      </c>
      <c r="G840" s="1">
        <v>0</v>
      </c>
      <c r="H840" s="2">
        <v>0.48</v>
      </c>
      <c r="I840" s="2">
        <v>0.92259433527078138</v>
      </c>
      <c r="J840" s="3">
        <v>1454</v>
      </c>
      <c r="K840">
        <v>93.5</v>
      </c>
      <c r="L840">
        <v>5.4</v>
      </c>
      <c r="M840">
        <v>0.8</v>
      </c>
    </row>
    <row r="841" spans="1:15" x14ac:dyDescent="0.25">
      <c r="A841" t="s">
        <v>180</v>
      </c>
      <c r="B841" s="1" t="s">
        <v>158</v>
      </c>
      <c r="C841" s="1">
        <v>2016</v>
      </c>
      <c r="D841" s="1">
        <v>5</v>
      </c>
      <c r="E841" s="1">
        <v>5</v>
      </c>
      <c r="F841" s="1">
        <v>5</v>
      </c>
      <c r="G841" s="1">
        <v>0</v>
      </c>
      <c r="H841" s="5">
        <f>4167135/3887150</f>
        <v>1.0720283498192764</v>
      </c>
      <c r="I841" s="2">
        <f>(3498521+9787899)/15098484</f>
        <v>0.87998371227203998</v>
      </c>
      <c r="J841" s="3">
        <v>1475</v>
      </c>
      <c r="K841" s="11">
        <v>93.5</v>
      </c>
      <c r="L841" s="11">
        <v>5.4</v>
      </c>
      <c r="M841">
        <v>0.8</v>
      </c>
      <c r="O841" s="7"/>
    </row>
    <row r="842" spans="1:15" x14ac:dyDescent="0.25">
      <c r="A842" t="s">
        <v>180</v>
      </c>
      <c r="B842" s="1" t="s">
        <v>158</v>
      </c>
      <c r="C842" s="1">
        <v>2017</v>
      </c>
      <c r="D842" s="1">
        <v>5</v>
      </c>
      <c r="E842" s="1">
        <v>5</v>
      </c>
      <c r="F842" s="1">
        <v>5</v>
      </c>
      <c r="G842" s="1">
        <v>0</v>
      </c>
      <c r="H842" s="5">
        <v>0.76439999999999997</v>
      </c>
      <c r="I842" s="2">
        <v>0.87997184090109115</v>
      </c>
      <c r="J842" s="3">
        <v>1494</v>
      </c>
      <c r="K842">
        <v>93.5</v>
      </c>
      <c r="L842">
        <v>5.4</v>
      </c>
      <c r="M842">
        <v>0.8</v>
      </c>
    </row>
    <row r="843" spans="1:15" x14ac:dyDescent="0.25">
      <c r="A843" s="8" t="s">
        <v>180</v>
      </c>
      <c r="B843" s="1" t="s">
        <v>158</v>
      </c>
      <c r="C843" s="1">
        <v>2018</v>
      </c>
      <c r="D843" s="1">
        <v>5</v>
      </c>
      <c r="E843" s="1">
        <v>5</v>
      </c>
      <c r="F843" s="1">
        <v>5</v>
      </c>
      <c r="G843" s="1">
        <v>0</v>
      </c>
      <c r="H843" s="2">
        <v>1.06</v>
      </c>
      <c r="I843" s="2">
        <v>0.66755674232309747</v>
      </c>
      <c r="J843" s="3">
        <v>1507</v>
      </c>
      <c r="K843">
        <v>93.5</v>
      </c>
      <c r="L843">
        <v>5.4</v>
      </c>
      <c r="M843">
        <v>0.8</v>
      </c>
    </row>
    <row r="844" spans="1:15" x14ac:dyDescent="0.25">
      <c r="A844" s="8" t="s">
        <v>181</v>
      </c>
      <c r="B844" s="1" t="s">
        <v>158</v>
      </c>
      <c r="C844" s="1">
        <v>2014</v>
      </c>
      <c r="D844" s="1">
        <v>3</v>
      </c>
      <c r="E844" s="1">
        <v>4</v>
      </c>
      <c r="F844" s="1">
        <v>3.5</v>
      </c>
      <c r="G844" s="1">
        <v>1</v>
      </c>
      <c r="H844" s="5">
        <v>0.28050000000000003</v>
      </c>
      <c r="I844" s="2">
        <f>1/1.3183</f>
        <v>0.75855268148372901</v>
      </c>
      <c r="J844" s="3">
        <v>11757</v>
      </c>
      <c r="K844">
        <v>7.6561966541481734</v>
      </c>
      <c r="L844">
        <v>7.2977125298736771</v>
      </c>
      <c r="M844">
        <v>4.8</v>
      </c>
    </row>
    <row r="845" spans="1:15" x14ac:dyDescent="0.25">
      <c r="A845" s="8" t="s">
        <v>181</v>
      </c>
      <c r="B845" s="1" t="s">
        <v>158</v>
      </c>
      <c r="C845" s="1">
        <v>2015</v>
      </c>
      <c r="D845" s="1">
        <v>3</v>
      </c>
      <c r="E845" s="1">
        <v>4</v>
      </c>
      <c r="F845" s="1">
        <v>3.5</v>
      </c>
      <c r="G845" s="1">
        <v>1</v>
      </c>
      <c r="H845" s="2">
        <v>0.67</v>
      </c>
      <c r="I845" s="2">
        <v>0.97106234220236931</v>
      </c>
      <c r="J845" s="3">
        <v>11877</v>
      </c>
      <c r="K845">
        <v>7.6561966541481734</v>
      </c>
      <c r="L845">
        <v>7.2977125298736771</v>
      </c>
      <c r="M845">
        <v>4.9000000000000004</v>
      </c>
    </row>
    <row r="846" spans="1:15" x14ac:dyDescent="0.25">
      <c r="A846" t="s">
        <v>181</v>
      </c>
      <c r="B846" s="1" t="s">
        <v>158</v>
      </c>
      <c r="C846" s="1">
        <v>2016</v>
      </c>
      <c r="D846" s="1">
        <v>3</v>
      </c>
      <c r="E846" s="1">
        <v>4</v>
      </c>
      <c r="F846" s="1">
        <v>3.5</v>
      </c>
      <c r="G846" s="1">
        <v>1</v>
      </c>
      <c r="H846" s="2">
        <v>2.35</v>
      </c>
      <c r="I846" s="2">
        <v>0.95950873152945693</v>
      </c>
      <c r="J846" s="6">
        <v>11716</v>
      </c>
      <c r="K846" s="7">
        <v>7.6561966541481734</v>
      </c>
      <c r="L846" s="7">
        <v>7.2977125298736771</v>
      </c>
      <c r="M846">
        <v>5</v>
      </c>
      <c r="O846" s="7"/>
    </row>
    <row r="847" spans="1:15" x14ac:dyDescent="0.25">
      <c r="A847" t="s">
        <v>181</v>
      </c>
      <c r="B847" s="1" t="s">
        <v>158</v>
      </c>
      <c r="C847" s="1">
        <v>2017</v>
      </c>
      <c r="D847" s="1">
        <v>3</v>
      </c>
      <c r="E847" s="1">
        <v>4</v>
      </c>
      <c r="F847" s="1">
        <v>3.5</v>
      </c>
      <c r="G847" s="1">
        <v>1</v>
      </c>
      <c r="H847" s="5">
        <v>0.59</v>
      </c>
      <c r="I847" s="2">
        <v>0.95638867635807179</v>
      </c>
      <c r="J847" s="3">
        <v>12261</v>
      </c>
      <c r="K847">
        <v>7.6561966541481734</v>
      </c>
      <c r="L847">
        <v>7.2977125298736771</v>
      </c>
      <c r="M847">
        <v>5.0999999999999996</v>
      </c>
    </row>
    <row r="848" spans="1:15" x14ac:dyDescent="0.25">
      <c r="A848" s="8" t="s">
        <v>181</v>
      </c>
      <c r="B848" s="1" t="s">
        <v>158</v>
      </c>
      <c r="C848" s="1">
        <v>2018</v>
      </c>
      <c r="D848" s="1">
        <v>3</v>
      </c>
      <c r="E848" s="1">
        <v>4</v>
      </c>
      <c r="F848" s="1">
        <v>3.5</v>
      </c>
      <c r="G848" s="1">
        <v>1</v>
      </c>
      <c r="H848" s="2">
        <v>1.05</v>
      </c>
      <c r="I848" s="2">
        <v>0.98193244304791838</v>
      </c>
      <c r="J848" s="3">
        <v>12257</v>
      </c>
      <c r="K848">
        <v>7.6561966541481734</v>
      </c>
      <c r="L848">
        <v>7.2977125298736771</v>
      </c>
      <c r="M848">
        <v>5</v>
      </c>
    </row>
    <row r="849" spans="1:15" x14ac:dyDescent="0.25">
      <c r="A849" s="8" t="s">
        <v>182</v>
      </c>
      <c r="B849" s="1" t="s">
        <v>158</v>
      </c>
      <c r="C849" s="1">
        <v>2014</v>
      </c>
      <c r="D849" s="1">
        <v>5</v>
      </c>
      <c r="E849" s="1">
        <v>5</v>
      </c>
      <c r="F849" s="1">
        <v>5</v>
      </c>
      <c r="G849" s="1">
        <v>0</v>
      </c>
      <c r="H849" s="5">
        <v>1.7857000000000001</v>
      </c>
      <c r="I849" s="2">
        <f>1/1.3694</f>
        <v>0.73024682342631808</v>
      </c>
      <c r="J849" s="3">
        <v>840</v>
      </c>
      <c r="K849">
        <v>5.2434456928838955</v>
      </c>
      <c r="L849">
        <v>2.1223470661672907</v>
      </c>
      <c r="M849">
        <v>0</v>
      </c>
    </row>
    <row r="850" spans="1:15" x14ac:dyDescent="0.25">
      <c r="A850" s="8" t="s">
        <v>182</v>
      </c>
      <c r="B850" s="1" t="s">
        <v>158</v>
      </c>
      <c r="C850" s="1">
        <v>2015</v>
      </c>
      <c r="D850" s="1">
        <v>5</v>
      </c>
      <c r="E850" s="1">
        <v>5</v>
      </c>
      <c r="F850" s="1">
        <v>5</v>
      </c>
      <c r="G850" s="1">
        <v>0</v>
      </c>
      <c r="H850" s="2">
        <v>1.2350000000000001</v>
      </c>
      <c r="I850" s="2">
        <v>0.93484154435823119</v>
      </c>
      <c r="J850" s="3">
        <v>818</v>
      </c>
      <c r="K850">
        <v>5.2434456928838955</v>
      </c>
      <c r="L850">
        <v>2.1223470661672907</v>
      </c>
      <c r="M850">
        <v>0</v>
      </c>
    </row>
    <row r="851" spans="1:15" x14ac:dyDescent="0.25">
      <c r="A851" t="s">
        <v>182</v>
      </c>
      <c r="B851" s="1" t="s">
        <v>158</v>
      </c>
      <c r="C851" s="1">
        <v>2016</v>
      </c>
      <c r="D851" s="1">
        <v>5</v>
      </c>
      <c r="E851" s="1">
        <v>5</v>
      </c>
      <c r="F851" s="1">
        <v>5</v>
      </c>
      <c r="G851" s="1">
        <v>0</v>
      </c>
      <c r="H851" s="2">
        <v>1.78</v>
      </c>
      <c r="I851" s="2">
        <v>1.0094891984655763</v>
      </c>
      <c r="J851" s="6">
        <v>801</v>
      </c>
      <c r="K851" s="7">
        <v>5.2434456928838955</v>
      </c>
      <c r="L851" s="7">
        <v>2.1223470661672907</v>
      </c>
      <c r="M851">
        <v>0</v>
      </c>
      <c r="O851" s="7"/>
    </row>
    <row r="852" spans="1:15" x14ac:dyDescent="0.25">
      <c r="A852" t="s">
        <v>182</v>
      </c>
      <c r="B852" s="1" t="s">
        <v>158</v>
      </c>
      <c r="C852" s="1">
        <v>2017</v>
      </c>
      <c r="D852" s="1">
        <v>5</v>
      </c>
      <c r="E852" s="1">
        <v>5</v>
      </c>
      <c r="F852" s="1">
        <v>5</v>
      </c>
      <c r="G852" s="1">
        <v>0</v>
      </c>
      <c r="H852" s="5">
        <v>0.161</v>
      </c>
      <c r="I852" s="2">
        <v>0.8253549026081215</v>
      </c>
      <c r="J852" s="3">
        <v>807</v>
      </c>
      <c r="K852">
        <v>5.2434456928838955</v>
      </c>
      <c r="L852">
        <v>2.1223470661672907</v>
      </c>
      <c r="M852">
        <v>0</v>
      </c>
    </row>
    <row r="853" spans="1:15" x14ac:dyDescent="0.25">
      <c r="A853" s="8" t="s">
        <v>182</v>
      </c>
      <c r="B853" s="1" t="s">
        <v>158</v>
      </c>
      <c r="C853" s="1">
        <v>2018</v>
      </c>
      <c r="D853" s="1">
        <v>5</v>
      </c>
      <c r="E853" s="1">
        <v>5</v>
      </c>
      <c r="F853" s="1">
        <v>5</v>
      </c>
      <c r="G853" s="1">
        <v>0</v>
      </c>
      <c r="H853" s="2">
        <v>8.7999999999999995E-2</v>
      </c>
      <c r="I853" s="2">
        <v>0.85579803166452706</v>
      </c>
      <c r="J853" s="3">
        <v>804</v>
      </c>
      <c r="K853">
        <v>5.2434456928838955</v>
      </c>
      <c r="L853">
        <v>2.1223470661672907</v>
      </c>
      <c r="M853">
        <v>0</v>
      </c>
    </row>
    <row r="854" spans="1:15" x14ac:dyDescent="0.25">
      <c r="A854" s="8" t="s">
        <v>183</v>
      </c>
      <c r="B854" s="1" t="s">
        <v>158</v>
      </c>
      <c r="C854" s="1">
        <v>2014</v>
      </c>
      <c r="D854" s="1">
        <v>5</v>
      </c>
      <c r="E854" s="1">
        <v>5</v>
      </c>
      <c r="F854" s="1">
        <v>5</v>
      </c>
      <c r="G854" s="1">
        <v>0</v>
      </c>
      <c r="H854" s="5">
        <v>3.0928</v>
      </c>
      <c r="I854" s="2">
        <f>1/1.045</f>
        <v>0.95693779904306231</v>
      </c>
      <c r="J854" s="3">
        <v>1710</v>
      </c>
      <c r="K854">
        <v>6.5061808718282359</v>
      </c>
      <c r="L854">
        <v>0.65061808718282366</v>
      </c>
      <c r="M854">
        <v>0</v>
      </c>
    </row>
    <row r="855" spans="1:15" x14ac:dyDescent="0.25">
      <c r="A855" s="8" t="s">
        <v>183</v>
      </c>
      <c r="B855" s="1" t="s">
        <v>158</v>
      </c>
      <c r="C855" s="1">
        <v>2015</v>
      </c>
      <c r="D855" s="1">
        <v>5</v>
      </c>
      <c r="E855" s="1">
        <v>5</v>
      </c>
      <c r="F855" s="1">
        <v>5</v>
      </c>
      <c r="G855" s="1">
        <v>0</v>
      </c>
      <c r="H855" s="2">
        <v>0.82599999999999996</v>
      </c>
      <c r="I855" s="2">
        <v>1.0582010582010584</v>
      </c>
      <c r="J855" s="3">
        <v>1643</v>
      </c>
      <c r="K855">
        <v>6.5061808718282359</v>
      </c>
      <c r="L855">
        <v>0.65061808718282366</v>
      </c>
      <c r="M855">
        <v>0</v>
      </c>
    </row>
    <row r="856" spans="1:15" x14ac:dyDescent="0.25">
      <c r="A856" t="s">
        <v>183</v>
      </c>
      <c r="B856" s="1" t="s">
        <v>158</v>
      </c>
      <c r="C856" s="1">
        <v>2016</v>
      </c>
      <c r="D856" s="1">
        <v>5</v>
      </c>
      <c r="E856" s="1">
        <v>5</v>
      </c>
      <c r="F856" s="1">
        <v>5</v>
      </c>
      <c r="G856" s="1">
        <v>0</v>
      </c>
      <c r="H856" s="2">
        <v>1.5532999999999999</v>
      </c>
      <c r="I856" s="2">
        <v>1.0569707219110032</v>
      </c>
      <c r="J856" s="6">
        <v>1537</v>
      </c>
      <c r="K856" s="7">
        <v>6.5061808718282359</v>
      </c>
      <c r="L856" s="7">
        <v>0.65061808718282366</v>
      </c>
      <c r="M856">
        <v>0</v>
      </c>
      <c r="O856" s="7"/>
    </row>
    <row r="857" spans="1:15" x14ac:dyDescent="0.25">
      <c r="A857" t="s">
        <v>183</v>
      </c>
      <c r="B857" s="1" t="s">
        <v>158</v>
      </c>
      <c r="C857" s="1">
        <v>2017</v>
      </c>
      <c r="D857" s="1">
        <v>5</v>
      </c>
      <c r="E857" s="1">
        <v>5</v>
      </c>
      <c r="F857" s="1">
        <v>5</v>
      </c>
      <c r="G857" s="1">
        <v>0</v>
      </c>
      <c r="H857" s="5">
        <v>1.4397</v>
      </c>
      <c r="I857" s="2">
        <v>1.3027618551328817</v>
      </c>
      <c r="J857" s="3">
        <v>1519</v>
      </c>
      <c r="K857">
        <v>6.5061808718282359</v>
      </c>
      <c r="L857">
        <v>0.65061808718282366</v>
      </c>
      <c r="M857">
        <v>0</v>
      </c>
    </row>
    <row r="858" spans="1:15" x14ac:dyDescent="0.25">
      <c r="A858" s="8" t="s">
        <v>183</v>
      </c>
      <c r="B858" s="1" t="s">
        <v>158</v>
      </c>
      <c r="C858" s="1">
        <v>2018</v>
      </c>
      <c r="D858" s="1">
        <v>5</v>
      </c>
      <c r="E858" s="1">
        <v>5</v>
      </c>
      <c r="F858" s="1">
        <v>5</v>
      </c>
      <c r="G858" s="1">
        <v>0</v>
      </c>
      <c r="H858" s="2">
        <v>0.39290000000000003</v>
      </c>
      <c r="I858" s="2">
        <v>1.1012003083360864</v>
      </c>
      <c r="J858" s="3">
        <v>1499</v>
      </c>
      <c r="K858">
        <v>6.5061808718282359</v>
      </c>
      <c r="L858">
        <v>0.65061808718282366</v>
      </c>
      <c r="M858">
        <v>0</v>
      </c>
    </row>
    <row r="859" spans="1:15" x14ac:dyDescent="0.25">
      <c r="A859" s="8" t="s">
        <v>184</v>
      </c>
      <c r="B859" s="1" t="s">
        <v>158</v>
      </c>
      <c r="C859" s="1">
        <v>2014</v>
      </c>
      <c r="D859" s="9">
        <v>2</v>
      </c>
      <c r="E859" s="9">
        <v>4</v>
      </c>
      <c r="F859" s="9">
        <v>3</v>
      </c>
      <c r="G859" s="1">
        <v>2</v>
      </c>
      <c r="H859" s="5">
        <v>0.5857</v>
      </c>
      <c r="I859" s="2">
        <f>1/0.9772</f>
        <v>1.0233319688907081</v>
      </c>
      <c r="J859" s="3">
        <v>101332</v>
      </c>
      <c r="K859">
        <v>4.1693348965055224</v>
      </c>
      <c r="L859">
        <v>3.3112321803296458</v>
      </c>
      <c r="M859">
        <v>14.3</v>
      </c>
    </row>
    <row r="860" spans="1:15" x14ac:dyDescent="0.25">
      <c r="A860" s="8" t="s">
        <v>184</v>
      </c>
      <c r="B860" s="1" t="s">
        <v>158</v>
      </c>
      <c r="C860" s="1">
        <v>2015</v>
      </c>
      <c r="D860" s="9">
        <v>2</v>
      </c>
      <c r="E860" s="9">
        <v>4</v>
      </c>
      <c r="F860" s="9">
        <v>3</v>
      </c>
      <c r="G860" s="1">
        <v>2</v>
      </c>
      <c r="H860" s="2">
        <v>0.72519999999999996</v>
      </c>
      <c r="I860" s="2">
        <v>1.0797969981643452</v>
      </c>
      <c r="J860" s="3">
        <v>102129</v>
      </c>
      <c r="K860">
        <v>4.1693348965055224</v>
      </c>
      <c r="L860">
        <v>3.3112321803296458</v>
      </c>
      <c r="M860">
        <v>14.4</v>
      </c>
    </row>
    <row r="861" spans="1:15" x14ac:dyDescent="0.25">
      <c r="A861" s="10" t="s">
        <v>184</v>
      </c>
      <c r="B861" s="9" t="s">
        <v>158</v>
      </c>
      <c r="C861" s="1">
        <v>2016</v>
      </c>
      <c r="D861" s="9">
        <v>2</v>
      </c>
      <c r="E861" s="9">
        <v>4</v>
      </c>
      <c r="F861" s="9">
        <v>3</v>
      </c>
      <c r="G861" s="1">
        <v>2</v>
      </c>
      <c r="H861" s="2">
        <v>0.73370000000000002</v>
      </c>
      <c r="I861" s="2">
        <v>1.0938525486764383</v>
      </c>
      <c r="J861" s="6">
        <v>101503</v>
      </c>
      <c r="K861" s="7">
        <v>4.1693348965055224</v>
      </c>
      <c r="L861" s="7">
        <v>3.3112321803296458</v>
      </c>
      <c r="M861">
        <v>14.5</v>
      </c>
      <c r="O861" s="7"/>
    </row>
    <row r="862" spans="1:15" x14ac:dyDescent="0.25">
      <c r="A862" s="10" t="s">
        <v>184</v>
      </c>
      <c r="B862" s="9" t="s">
        <v>158</v>
      </c>
      <c r="C862" s="1">
        <v>2017</v>
      </c>
      <c r="D862" s="9">
        <v>2</v>
      </c>
      <c r="E862" s="9">
        <v>4</v>
      </c>
      <c r="F862" s="9">
        <v>3</v>
      </c>
      <c r="G862" s="1">
        <v>2</v>
      </c>
      <c r="H862" s="5">
        <v>0.73680000000000001</v>
      </c>
      <c r="I862" s="2">
        <v>1.1453441759248655</v>
      </c>
      <c r="J862" s="3">
        <v>104042</v>
      </c>
      <c r="K862">
        <v>4.1693348965055224</v>
      </c>
      <c r="L862">
        <v>3.3112321803296458</v>
      </c>
      <c r="M862">
        <v>14.6</v>
      </c>
    </row>
    <row r="863" spans="1:15" x14ac:dyDescent="0.25">
      <c r="A863" s="8" t="s">
        <v>184</v>
      </c>
      <c r="B863" s="1" t="s">
        <v>158</v>
      </c>
      <c r="C863" s="1">
        <v>2018</v>
      </c>
      <c r="D863" s="9">
        <v>2</v>
      </c>
      <c r="E863" s="9">
        <v>4</v>
      </c>
      <c r="F863" s="9">
        <v>3</v>
      </c>
      <c r="G863" s="1">
        <v>2</v>
      </c>
      <c r="H863" s="2">
        <v>0.71860000000000002</v>
      </c>
      <c r="I863" s="2">
        <v>1.0447137484329294</v>
      </c>
      <c r="J863" s="3">
        <v>105463</v>
      </c>
      <c r="K863">
        <v>4.1693348965055224</v>
      </c>
      <c r="L863">
        <v>3.3112321803296458</v>
      </c>
      <c r="M863">
        <v>14.8</v>
      </c>
    </row>
    <row r="864" spans="1:15" x14ac:dyDescent="0.25">
      <c r="A864" s="8" t="s">
        <v>185</v>
      </c>
      <c r="B864" s="1" t="s">
        <v>158</v>
      </c>
      <c r="C864" s="1">
        <v>2014</v>
      </c>
      <c r="D864" s="1">
        <v>2</v>
      </c>
      <c r="E864" s="1">
        <v>3</v>
      </c>
      <c r="F864" s="1">
        <v>2.5</v>
      </c>
      <c r="G864" s="1">
        <v>1</v>
      </c>
      <c r="H864" s="5">
        <v>1.7837000000000001</v>
      </c>
      <c r="I864" s="2">
        <f>1/0.9791</f>
        <v>1.021346134204882</v>
      </c>
      <c r="J864" s="3">
        <v>63367</v>
      </c>
      <c r="K864">
        <v>4.0556763245838869</v>
      </c>
      <c r="L864">
        <v>6.2246520229713509</v>
      </c>
      <c r="M864">
        <v>6</v>
      </c>
    </row>
    <row r="865" spans="1:15" x14ac:dyDescent="0.25">
      <c r="A865" s="8" t="s">
        <v>185</v>
      </c>
      <c r="B865" s="1" t="s">
        <v>158</v>
      </c>
      <c r="C865" s="1">
        <v>2015</v>
      </c>
      <c r="D865" s="1">
        <v>2</v>
      </c>
      <c r="E865" s="1">
        <v>3</v>
      </c>
      <c r="F865" s="1">
        <v>2.5</v>
      </c>
      <c r="G865" s="1">
        <v>1</v>
      </c>
      <c r="H865" s="2">
        <v>1.26</v>
      </c>
      <c r="I865" s="2">
        <v>1.021659174499387</v>
      </c>
      <c r="J865" s="3">
        <v>63697</v>
      </c>
      <c r="K865">
        <v>4.0556763245838869</v>
      </c>
      <c r="L865">
        <v>6.2246520229713509</v>
      </c>
      <c r="M865">
        <v>6.1</v>
      </c>
    </row>
    <row r="866" spans="1:15" x14ac:dyDescent="0.25">
      <c r="A866" t="s">
        <v>185</v>
      </c>
      <c r="B866" s="1" t="s">
        <v>158</v>
      </c>
      <c r="C866" s="1">
        <v>2016</v>
      </c>
      <c r="D866" s="1">
        <v>2</v>
      </c>
      <c r="E866" s="1">
        <v>3</v>
      </c>
      <c r="F866" s="1">
        <v>2.5</v>
      </c>
      <c r="G866" s="1">
        <v>1</v>
      </c>
      <c r="H866" s="2">
        <v>0.67</v>
      </c>
      <c r="I866" s="2">
        <v>1.0162601626016261</v>
      </c>
      <c r="J866" s="6">
        <v>61642</v>
      </c>
      <c r="K866" s="7">
        <v>4.0556763245838869</v>
      </c>
      <c r="L866" s="7">
        <v>6.2246520229713509</v>
      </c>
      <c r="M866">
        <v>6</v>
      </c>
      <c r="O866" s="7"/>
    </row>
    <row r="867" spans="1:15" x14ac:dyDescent="0.25">
      <c r="A867" t="s">
        <v>185</v>
      </c>
      <c r="B867" s="1" t="s">
        <v>158</v>
      </c>
      <c r="C867" s="1">
        <v>2017</v>
      </c>
      <c r="D867" s="1">
        <v>2</v>
      </c>
      <c r="E867" s="1">
        <v>3</v>
      </c>
      <c r="F867" s="1">
        <v>2.5</v>
      </c>
      <c r="G867" s="1">
        <v>1</v>
      </c>
      <c r="H867" s="5">
        <v>0.44</v>
      </c>
      <c r="I867" s="2">
        <v>1.0583130489998942</v>
      </c>
      <c r="J867" s="3">
        <v>62800</v>
      </c>
      <c r="K867">
        <v>4.0556763245838869</v>
      </c>
      <c r="L867">
        <v>6.2246520229713509</v>
      </c>
      <c r="M867">
        <v>6</v>
      </c>
    </row>
    <row r="868" spans="1:15" x14ac:dyDescent="0.25">
      <c r="A868" s="8" t="s">
        <v>185</v>
      </c>
      <c r="B868" s="1" t="s">
        <v>158</v>
      </c>
      <c r="C868" s="1">
        <v>2018</v>
      </c>
      <c r="D868" s="1">
        <v>2</v>
      </c>
      <c r="E868" s="1">
        <v>3</v>
      </c>
      <c r="F868" s="1">
        <v>2.5</v>
      </c>
      <c r="G868" s="1">
        <v>1</v>
      </c>
      <c r="H868" s="2">
        <v>0.5</v>
      </c>
      <c r="I868" s="2">
        <v>1.0030090270812437</v>
      </c>
      <c r="J868" s="3">
        <v>62979</v>
      </c>
      <c r="K868">
        <v>4.0556763245838869</v>
      </c>
      <c r="L868">
        <v>6.2246520229713509</v>
      </c>
      <c r="M868">
        <v>6</v>
      </c>
    </row>
    <row r="869" spans="1:15" x14ac:dyDescent="0.25">
      <c r="A869" s="8" t="s">
        <v>186</v>
      </c>
      <c r="B869" s="1" t="s">
        <v>158</v>
      </c>
      <c r="C869" s="1">
        <v>2014</v>
      </c>
      <c r="D869" s="1">
        <v>1</v>
      </c>
      <c r="E869" s="1">
        <v>2</v>
      </c>
      <c r="F869" s="1">
        <v>1.5</v>
      </c>
      <c r="G869" s="1">
        <v>1</v>
      </c>
      <c r="H869" s="5">
        <v>0.48</v>
      </c>
      <c r="I869" s="2">
        <f>1/1.05</f>
        <v>0.95238095238095233</v>
      </c>
      <c r="J869" s="3">
        <v>550718</v>
      </c>
      <c r="K869">
        <v>1.6704335245553548</v>
      </c>
      <c r="L869">
        <v>12.26346171840698</v>
      </c>
      <c r="M869">
        <v>412.9</v>
      </c>
    </row>
    <row r="870" spans="1:15" x14ac:dyDescent="0.25">
      <c r="A870" s="8" t="s">
        <v>186</v>
      </c>
      <c r="B870" s="1" t="s">
        <v>158</v>
      </c>
      <c r="C870" s="1">
        <v>2015</v>
      </c>
      <c r="D870" s="1">
        <v>1</v>
      </c>
      <c r="E870" s="1">
        <v>2</v>
      </c>
      <c r="F870" s="1">
        <v>1.5</v>
      </c>
      <c r="G870" s="1">
        <v>1</v>
      </c>
      <c r="H870" s="2">
        <v>0.34799999999999998</v>
      </c>
      <c r="I870" s="2">
        <v>0.98425196850393704</v>
      </c>
      <c r="J870" s="3">
        <v>561629</v>
      </c>
      <c r="K870">
        <v>1.6704335245553548</v>
      </c>
      <c r="L870">
        <v>12.26346171840698</v>
      </c>
      <c r="M870">
        <v>421.1</v>
      </c>
    </row>
    <row r="871" spans="1:15" x14ac:dyDescent="0.25">
      <c r="A871" t="s">
        <v>186</v>
      </c>
      <c r="B871" s="1" t="s">
        <v>158</v>
      </c>
      <c r="C871" s="1">
        <v>2016</v>
      </c>
      <c r="D871" s="1">
        <v>1</v>
      </c>
      <c r="E871" s="1">
        <v>2</v>
      </c>
      <c r="F871" s="1">
        <v>1.5</v>
      </c>
      <c r="G871" s="1">
        <v>1</v>
      </c>
      <c r="H871" s="2">
        <v>0.46</v>
      </c>
      <c r="I871" s="2">
        <v>1.0113268608414239</v>
      </c>
      <c r="J871" s="6">
        <v>555724</v>
      </c>
      <c r="K871" s="7">
        <v>1.6704335245553548</v>
      </c>
      <c r="L871" s="7">
        <v>12.26346171840698</v>
      </c>
      <c r="M871">
        <v>431.4</v>
      </c>
      <c r="O871" s="7"/>
    </row>
    <row r="872" spans="1:15" x14ac:dyDescent="0.25">
      <c r="A872" t="s">
        <v>186</v>
      </c>
      <c r="B872" s="1" t="s">
        <v>158</v>
      </c>
      <c r="C872" s="1">
        <v>2017</v>
      </c>
      <c r="D872" s="1">
        <v>1</v>
      </c>
      <c r="E872" s="1">
        <v>2</v>
      </c>
      <c r="F872" s="1">
        <v>1.5</v>
      </c>
      <c r="G872" s="1">
        <v>1</v>
      </c>
      <c r="H872" s="5">
        <v>0.496</v>
      </c>
      <c r="I872" s="2">
        <v>1.016053647632595</v>
      </c>
      <c r="J872" s="3">
        <v>591141</v>
      </c>
      <c r="K872">
        <v>1.6704335245553548</v>
      </c>
      <c r="L872">
        <v>12.26346171840698</v>
      </c>
      <c r="M872">
        <v>443.2</v>
      </c>
    </row>
    <row r="873" spans="1:15" x14ac:dyDescent="0.25">
      <c r="A873" s="8" t="s">
        <v>186</v>
      </c>
      <c r="B873" s="1" t="s">
        <v>158</v>
      </c>
      <c r="C873" s="1">
        <v>2018</v>
      </c>
      <c r="D873" s="1">
        <v>1</v>
      </c>
      <c r="E873" s="1">
        <v>2</v>
      </c>
      <c r="F873" s="1">
        <v>1.5</v>
      </c>
      <c r="G873" s="1">
        <v>1</v>
      </c>
      <c r="H873" s="2">
        <v>0.56899999999999995</v>
      </c>
      <c r="I873" s="2">
        <v>0.96450617283950624</v>
      </c>
      <c r="J873" s="3">
        <v>606774</v>
      </c>
      <c r="K873">
        <v>1.6704335245553548</v>
      </c>
      <c r="L873">
        <v>12.26346171840698</v>
      </c>
      <c r="M873">
        <v>455</v>
      </c>
    </row>
    <row r="874" spans="1:15" x14ac:dyDescent="0.25">
      <c r="A874" s="8" t="s">
        <v>187</v>
      </c>
      <c r="B874" s="1" t="s">
        <v>158</v>
      </c>
      <c r="C874" s="1">
        <v>2014</v>
      </c>
      <c r="D874" s="1">
        <v>3</v>
      </c>
      <c r="E874" s="1">
        <v>4</v>
      </c>
      <c r="F874" s="1">
        <v>3.5</v>
      </c>
      <c r="G874" s="1">
        <v>1</v>
      </c>
      <c r="H874" s="5">
        <v>0.88980000000000004</v>
      </c>
      <c r="I874" s="2">
        <f>1/1.0088</f>
        <v>0.99127676447264079</v>
      </c>
      <c r="J874" s="3">
        <v>10902</v>
      </c>
      <c r="K874">
        <v>5.3443733534060973</v>
      </c>
      <c r="L874">
        <v>3.0955965374482499</v>
      </c>
      <c r="M874">
        <v>0.6</v>
      </c>
    </row>
    <row r="875" spans="1:15" x14ac:dyDescent="0.25">
      <c r="A875" s="8" t="s">
        <v>187</v>
      </c>
      <c r="B875" s="1" t="s">
        <v>158</v>
      </c>
      <c r="C875" s="1">
        <v>2015</v>
      </c>
      <c r="D875" s="1">
        <v>3</v>
      </c>
      <c r="E875" s="1">
        <v>4</v>
      </c>
      <c r="F875" s="1">
        <v>3.5</v>
      </c>
      <c r="G875" s="1">
        <v>1</v>
      </c>
      <c r="H875" s="2">
        <v>1.1632</v>
      </c>
      <c r="I875" s="2">
        <v>0.9604302727621975</v>
      </c>
      <c r="J875" s="3">
        <v>10835</v>
      </c>
      <c r="K875">
        <v>5.3443733534060973</v>
      </c>
      <c r="L875">
        <v>3.0955965374482499</v>
      </c>
      <c r="M875">
        <v>0.6</v>
      </c>
    </row>
    <row r="876" spans="1:15" x14ac:dyDescent="0.25">
      <c r="A876" t="s">
        <v>187</v>
      </c>
      <c r="B876" s="1" t="s">
        <v>158</v>
      </c>
      <c r="C876" s="1">
        <v>2016</v>
      </c>
      <c r="D876" s="1">
        <v>3</v>
      </c>
      <c r="E876" s="1">
        <v>4</v>
      </c>
      <c r="F876" s="1">
        <v>3.5</v>
      </c>
      <c r="G876" s="1">
        <v>1</v>
      </c>
      <c r="H876" s="2">
        <v>1.2009000000000001</v>
      </c>
      <c r="I876" s="2">
        <v>1.0219724067450178</v>
      </c>
      <c r="J876" s="6">
        <v>10628</v>
      </c>
      <c r="K876" s="7">
        <v>5.3443733534060973</v>
      </c>
      <c r="L876" s="7">
        <v>3.0955965374482499</v>
      </c>
      <c r="M876">
        <v>0.6</v>
      </c>
      <c r="O876" s="7"/>
    </row>
    <row r="877" spans="1:15" x14ac:dyDescent="0.25">
      <c r="A877" t="s">
        <v>187</v>
      </c>
      <c r="B877" s="1" t="s">
        <v>158</v>
      </c>
      <c r="C877" s="1">
        <v>2017</v>
      </c>
      <c r="D877" s="1">
        <v>3</v>
      </c>
      <c r="E877" s="1">
        <v>4</v>
      </c>
      <c r="F877" s="1">
        <v>3.5</v>
      </c>
      <c r="G877" s="1">
        <v>1</v>
      </c>
      <c r="H877" s="5">
        <v>0.90800000000000003</v>
      </c>
      <c r="I877" s="2">
        <v>1.1084016847705609</v>
      </c>
      <c r="J877" s="3">
        <v>10770</v>
      </c>
      <c r="K877">
        <v>5.3443733534060973</v>
      </c>
      <c r="L877">
        <v>3.0955965374482499</v>
      </c>
      <c r="M877">
        <v>0.6</v>
      </c>
    </row>
    <row r="878" spans="1:15" x14ac:dyDescent="0.25">
      <c r="A878" s="8" t="s">
        <v>187</v>
      </c>
      <c r="B878" s="1" t="s">
        <v>158</v>
      </c>
      <c r="C878" s="1">
        <v>2018</v>
      </c>
      <c r="D878" s="1">
        <v>3</v>
      </c>
      <c r="E878" s="1">
        <v>4</v>
      </c>
      <c r="F878" s="1">
        <v>3.5</v>
      </c>
      <c r="G878" s="1">
        <v>1</v>
      </c>
      <c r="H878" s="2">
        <v>1.2571000000000001</v>
      </c>
      <c r="I878" s="2">
        <v>1.00999899000101</v>
      </c>
      <c r="J878" s="3">
        <v>10728</v>
      </c>
      <c r="K878">
        <v>5.3443733534060973</v>
      </c>
      <c r="L878">
        <v>3.0955965374482499</v>
      </c>
      <c r="M878">
        <v>0.6</v>
      </c>
    </row>
    <row r="879" spans="1:15" x14ac:dyDescent="0.25">
      <c r="A879" s="8" t="s">
        <v>188</v>
      </c>
      <c r="B879" s="1" t="s">
        <v>158</v>
      </c>
      <c r="C879" s="1">
        <v>2014</v>
      </c>
      <c r="D879" s="1">
        <v>2</v>
      </c>
      <c r="E879" s="1">
        <v>3</v>
      </c>
      <c r="F879" s="1">
        <v>2.5</v>
      </c>
      <c r="G879" s="1">
        <v>1</v>
      </c>
      <c r="H879" s="5">
        <v>1.9040999999999999</v>
      </c>
      <c r="I879" s="2">
        <f>1/0.9687</f>
        <v>1.0323113451016828</v>
      </c>
      <c r="J879" s="3">
        <v>49089</v>
      </c>
      <c r="K879">
        <v>3.5758248410856628</v>
      </c>
      <c r="L879">
        <v>2.5305216426193118</v>
      </c>
      <c r="M879">
        <v>7.1</v>
      </c>
    </row>
    <row r="880" spans="1:15" x14ac:dyDescent="0.25">
      <c r="A880" s="8" t="s">
        <v>188</v>
      </c>
      <c r="B880" s="1" t="s">
        <v>158</v>
      </c>
      <c r="C880" s="1">
        <v>2015</v>
      </c>
      <c r="D880" s="1">
        <v>2</v>
      </c>
      <c r="E880" s="1">
        <v>3</v>
      </c>
      <c r="F880" s="1">
        <v>2.5</v>
      </c>
      <c r="G880" s="1">
        <v>1</v>
      </c>
      <c r="H880" s="2">
        <v>1.7015</v>
      </c>
      <c r="I880" s="2">
        <v>1.0485477613505296</v>
      </c>
      <c r="J880" s="3">
        <v>49540</v>
      </c>
      <c r="K880">
        <v>3.5758248410856628</v>
      </c>
      <c r="L880">
        <v>2.5305216426193118</v>
      </c>
      <c r="M880">
        <v>7.2</v>
      </c>
    </row>
    <row r="881" spans="1:15" x14ac:dyDescent="0.25">
      <c r="A881" t="s">
        <v>188</v>
      </c>
      <c r="B881" s="1" t="s">
        <v>158</v>
      </c>
      <c r="C881" s="1">
        <v>2016</v>
      </c>
      <c r="D881" s="1">
        <v>2</v>
      </c>
      <c r="E881" s="1">
        <v>3</v>
      </c>
      <c r="F881" s="1">
        <v>2.5</v>
      </c>
      <c r="G881" s="1">
        <v>1</v>
      </c>
      <c r="H881" s="2">
        <v>1.0719000000000001</v>
      </c>
      <c r="I881" s="2">
        <v>0.9391435011269722</v>
      </c>
      <c r="J881" s="6">
        <v>49555</v>
      </c>
      <c r="K881" s="7">
        <v>3.5758248410856628</v>
      </c>
      <c r="L881" s="7">
        <v>2.5305216426193118</v>
      </c>
      <c r="M881">
        <v>7.3</v>
      </c>
      <c r="O881" s="7"/>
    </row>
    <row r="882" spans="1:15" x14ac:dyDescent="0.25">
      <c r="A882" t="s">
        <v>188</v>
      </c>
      <c r="B882" s="1" t="s">
        <v>158</v>
      </c>
      <c r="C882" s="1">
        <v>2017</v>
      </c>
      <c r="D882" s="1">
        <v>2</v>
      </c>
      <c r="E882" s="1">
        <v>3</v>
      </c>
      <c r="F882" s="1">
        <v>2.5</v>
      </c>
      <c r="G882" s="1">
        <v>1</v>
      </c>
      <c r="H882" s="5">
        <v>1.4422999999999999</v>
      </c>
      <c r="I882" s="2">
        <v>1.003814495081309</v>
      </c>
      <c r="J882" s="3">
        <v>51049</v>
      </c>
      <c r="K882">
        <v>3.5758248410856628</v>
      </c>
      <c r="L882">
        <v>2.5305216426193118</v>
      </c>
      <c r="M882">
        <v>7.4</v>
      </c>
    </row>
    <row r="883" spans="1:15" x14ac:dyDescent="0.25">
      <c r="A883" s="8" t="s">
        <v>188</v>
      </c>
      <c r="B883" s="1" t="s">
        <v>158</v>
      </c>
      <c r="C883" s="1">
        <v>2018</v>
      </c>
      <c r="D883" s="1">
        <v>2</v>
      </c>
      <c r="E883" s="1">
        <v>3</v>
      </c>
      <c r="F883" s="1">
        <v>2.5</v>
      </c>
      <c r="G883" s="1">
        <v>1</v>
      </c>
      <c r="H883" s="2">
        <v>2.0647000000000002</v>
      </c>
      <c r="I883" s="2">
        <v>0.97789947193428517</v>
      </c>
      <c r="J883" s="3">
        <v>51586</v>
      </c>
      <c r="K883">
        <v>3.5758248410856628</v>
      </c>
      <c r="L883">
        <v>2.5305216426193118</v>
      </c>
      <c r="M883">
        <v>7.5</v>
      </c>
    </row>
    <row r="884" spans="1:15" x14ac:dyDescent="0.25">
      <c r="A884" s="8" t="s">
        <v>189</v>
      </c>
      <c r="B884" s="1" t="s">
        <v>158</v>
      </c>
      <c r="C884" s="1">
        <v>2014</v>
      </c>
      <c r="D884" s="1">
        <v>3</v>
      </c>
      <c r="E884" s="1">
        <v>4</v>
      </c>
      <c r="F884" s="1">
        <v>3.5</v>
      </c>
      <c r="G884" s="1">
        <v>1</v>
      </c>
      <c r="H884" s="5">
        <v>1.1996</v>
      </c>
      <c r="I884" s="2">
        <f>1/1.0863</f>
        <v>0.92055601583356339</v>
      </c>
      <c r="J884" s="3">
        <v>11412</v>
      </c>
      <c r="K884">
        <v>6.0731348768834987</v>
      </c>
      <c r="L884">
        <v>7.056229327453142</v>
      </c>
      <c r="M884">
        <v>4.0999999999999996</v>
      </c>
    </row>
    <row r="885" spans="1:15" x14ac:dyDescent="0.25">
      <c r="A885" s="8" t="s">
        <v>189</v>
      </c>
      <c r="B885" s="1" t="s">
        <v>158</v>
      </c>
      <c r="C885" s="1">
        <v>2015</v>
      </c>
      <c r="D885" s="1">
        <v>3</v>
      </c>
      <c r="E885" s="1">
        <v>4</v>
      </c>
      <c r="F885" s="1">
        <v>3.5</v>
      </c>
      <c r="G885" s="1">
        <v>1</v>
      </c>
      <c r="H885" s="2">
        <v>1.21</v>
      </c>
      <c r="I885" s="2">
        <v>1.0263779123473262</v>
      </c>
      <c r="J885" s="3">
        <v>11181</v>
      </c>
      <c r="K885">
        <v>6.0731348768834987</v>
      </c>
      <c r="L885">
        <v>7.056229327453142</v>
      </c>
      <c r="M885">
        <v>4</v>
      </c>
    </row>
    <row r="886" spans="1:15" x14ac:dyDescent="0.25">
      <c r="A886" t="s">
        <v>189</v>
      </c>
      <c r="B886" s="1" t="s">
        <v>158</v>
      </c>
      <c r="C886" s="1">
        <v>2016</v>
      </c>
      <c r="D886" s="1">
        <v>3</v>
      </c>
      <c r="E886" s="1">
        <v>4</v>
      </c>
      <c r="F886" s="1">
        <v>3.5</v>
      </c>
      <c r="G886" s="1">
        <v>1</v>
      </c>
      <c r="H886" s="2">
        <v>0.59</v>
      </c>
      <c r="I886" s="2">
        <v>1.1479738261967627</v>
      </c>
      <c r="J886" s="6">
        <v>10884</v>
      </c>
      <c r="K886" s="7">
        <v>6.0731348768834987</v>
      </c>
      <c r="L886" s="7">
        <v>7.056229327453142</v>
      </c>
      <c r="M886">
        <v>3.9</v>
      </c>
      <c r="O886" s="7"/>
    </row>
    <row r="887" spans="1:15" x14ac:dyDescent="0.25">
      <c r="A887" t="s">
        <v>189</v>
      </c>
      <c r="B887" s="1" t="s">
        <v>158</v>
      </c>
      <c r="C887" s="1">
        <v>2017</v>
      </c>
      <c r="D887" s="1">
        <v>3</v>
      </c>
      <c r="E887" s="1">
        <v>4</v>
      </c>
      <c r="F887" s="1">
        <v>3.5</v>
      </c>
      <c r="G887" s="1">
        <v>1</v>
      </c>
      <c r="H887" s="5">
        <v>0.61</v>
      </c>
      <c r="I887" s="2">
        <v>1.0179153094462541</v>
      </c>
      <c r="J887" s="3">
        <v>10878</v>
      </c>
      <c r="K887">
        <v>6.0731348768834987</v>
      </c>
      <c r="L887">
        <v>7.056229327453142</v>
      </c>
      <c r="M887">
        <v>3.9</v>
      </c>
    </row>
    <row r="888" spans="1:15" x14ac:dyDescent="0.25">
      <c r="A888" s="8" t="s">
        <v>189</v>
      </c>
      <c r="B888" s="1" t="s">
        <v>158</v>
      </c>
      <c r="C888" s="1">
        <v>2018</v>
      </c>
      <c r="D888" s="1">
        <v>3</v>
      </c>
      <c r="E888" s="1">
        <v>4</v>
      </c>
      <c r="F888" s="1">
        <v>3.5</v>
      </c>
      <c r="G888" s="1">
        <v>1</v>
      </c>
      <c r="H888" s="2">
        <v>0.49</v>
      </c>
      <c r="I888" s="2">
        <v>0.92885008359650756</v>
      </c>
      <c r="J888" s="3">
        <v>10805</v>
      </c>
      <c r="K888">
        <v>6.0731348768834987</v>
      </c>
      <c r="L888">
        <v>7.056229327453142</v>
      </c>
      <c r="M888">
        <v>3.8</v>
      </c>
    </row>
    <row r="889" spans="1:15" x14ac:dyDescent="0.25">
      <c r="A889" s="8" t="s">
        <v>190</v>
      </c>
      <c r="B889" s="1" t="s">
        <v>158</v>
      </c>
      <c r="C889" s="1">
        <v>2014</v>
      </c>
      <c r="D889" s="1">
        <v>4</v>
      </c>
      <c r="E889" s="1">
        <v>4</v>
      </c>
      <c r="F889" s="1">
        <v>4</v>
      </c>
      <c r="G889" s="1">
        <v>0</v>
      </c>
      <c r="H889" s="5">
        <v>1.0685</v>
      </c>
      <c r="I889" s="2">
        <f>1/0.8588</f>
        <v>1.1644154634373545</v>
      </c>
      <c r="J889" s="3">
        <v>1030</v>
      </c>
      <c r="K889">
        <v>91.8</v>
      </c>
      <c r="L889">
        <v>74.400000000000006</v>
      </c>
      <c r="M889">
        <v>0.9</v>
      </c>
    </row>
    <row r="890" spans="1:15" x14ac:dyDescent="0.25">
      <c r="A890" s="8" t="s">
        <v>190</v>
      </c>
      <c r="B890" s="1" t="s">
        <v>158</v>
      </c>
      <c r="C890" s="1">
        <v>2015</v>
      </c>
      <c r="D890" s="1">
        <v>4</v>
      </c>
      <c r="E890" s="1">
        <v>4</v>
      </c>
      <c r="F890" s="1">
        <v>4</v>
      </c>
      <c r="G890" s="1">
        <v>0</v>
      </c>
      <c r="H890" s="2">
        <v>0.97</v>
      </c>
      <c r="I890" s="2">
        <v>1.0594342621040365</v>
      </c>
      <c r="J890" s="3">
        <v>1009</v>
      </c>
      <c r="K890">
        <v>91.8</v>
      </c>
      <c r="L890">
        <v>74.400000000000006</v>
      </c>
      <c r="M890">
        <v>0.9</v>
      </c>
    </row>
    <row r="891" spans="1:15" x14ac:dyDescent="0.25">
      <c r="A891" t="s">
        <v>190</v>
      </c>
      <c r="B891" s="1" t="s">
        <v>158</v>
      </c>
      <c r="C891" s="1">
        <v>2016</v>
      </c>
      <c r="D891" s="1">
        <v>4</v>
      </c>
      <c r="E891" s="1">
        <v>4</v>
      </c>
      <c r="F891" s="1">
        <v>4</v>
      </c>
      <c r="G891" s="1">
        <v>0</v>
      </c>
      <c r="H891" s="5">
        <v>0.97</v>
      </c>
      <c r="I891" s="2">
        <v>1.2345679012345678</v>
      </c>
      <c r="J891" s="3">
        <v>1014</v>
      </c>
      <c r="K891" s="11">
        <v>91.8</v>
      </c>
      <c r="L891" s="11">
        <v>74.400000000000006</v>
      </c>
      <c r="M891">
        <v>0.9</v>
      </c>
      <c r="O891" s="7"/>
    </row>
    <row r="892" spans="1:15" x14ac:dyDescent="0.25">
      <c r="A892" t="s">
        <v>190</v>
      </c>
      <c r="B892" s="1" t="s">
        <v>158</v>
      </c>
      <c r="C892" s="1">
        <v>2017</v>
      </c>
      <c r="D892" s="1">
        <v>4</v>
      </c>
      <c r="E892" s="1">
        <v>4</v>
      </c>
      <c r="F892" s="1">
        <v>4</v>
      </c>
      <c r="G892" s="1">
        <v>0</v>
      </c>
      <c r="H892" s="5">
        <v>1.4</v>
      </c>
      <c r="I892" s="2">
        <v>1.0827197921178</v>
      </c>
      <c r="J892" s="3">
        <v>1046</v>
      </c>
      <c r="K892">
        <v>91.8</v>
      </c>
      <c r="L892">
        <v>74.400000000000006</v>
      </c>
      <c r="M892">
        <v>0.9</v>
      </c>
    </row>
    <row r="893" spans="1:15" x14ac:dyDescent="0.25">
      <c r="A893" s="8" t="s">
        <v>190</v>
      </c>
      <c r="B893" s="1" t="s">
        <v>158</v>
      </c>
      <c r="C893" s="1">
        <v>2018</v>
      </c>
      <c r="D893" s="1">
        <v>4</v>
      </c>
      <c r="E893" s="1">
        <v>4</v>
      </c>
      <c r="F893" s="1">
        <v>4</v>
      </c>
      <c r="G893" s="1">
        <v>0</v>
      </c>
      <c r="H893" s="2">
        <v>0.96</v>
      </c>
      <c r="I893" s="2">
        <v>1.0471204188481675</v>
      </c>
      <c r="J893" s="3">
        <v>1081</v>
      </c>
      <c r="K893">
        <v>91.8</v>
      </c>
      <c r="L893">
        <v>74.400000000000006</v>
      </c>
      <c r="M893">
        <v>1</v>
      </c>
    </row>
    <row r="894" spans="1:15" x14ac:dyDescent="0.25">
      <c r="A894" s="8" t="s">
        <v>191</v>
      </c>
      <c r="B894" s="1" t="s">
        <v>158</v>
      </c>
      <c r="C894" s="1">
        <v>2014</v>
      </c>
      <c r="D894" s="1">
        <v>1</v>
      </c>
      <c r="E894" s="1">
        <v>2</v>
      </c>
      <c r="F894" s="1">
        <v>1.5</v>
      </c>
      <c r="G894" s="1">
        <v>1</v>
      </c>
      <c r="H894" s="5">
        <v>1.1064000000000001</v>
      </c>
      <c r="I894" s="2">
        <f>1/0.9708</f>
        <v>1.0300782859497322</v>
      </c>
      <c r="J894" s="3">
        <v>189195</v>
      </c>
      <c r="K894">
        <v>4.3502273700945091</v>
      </c>
      <c r="L894">
        <v>11.632780522047931</v>
      </c>
      <c r="M894">
        <v>173</v>
      </c>
    </row>
    <row r="895" spans="1:15" x14ac:dyDescent="0.25">
      <c r="A895" s="8" t="s">
        <v>191</v>
      </c>
      <c r="B895" s="1" t="s">
        <v>158</v>
      </c>
      <c r="C895" s="1">
        <v>2015</v>
      </c>
      <c r="D895" s="1">
        <v>1</v>
      </c>
      <c r="E895" s="1">
        <v>2</v>
      </c>
      <c r="F895" s="1">
        <v>1.5</v>
      </c>
      <c r="G895" s="1">
        <v>1</v>
      </c>
      <c r="H895" s="2">
        <v>0.27350000000000002</v>
      </c>
      <c r="I895" s="2">
        <v>1.0496483677967881</v>
      </c>
      <c r="J895" s="3">
        <v>194274</v>
      </c>
      <c r="K895">
        <v>4.3502273700945091</v>
      </c>
      <c r="L895">
        <v>11.632780522047931</v>
      </c>
      <c r="M895">
        <v>177.6</v>
      </c>
    </row>
    <row r="896" spans="1:15" x14ac:dyDescent="0.25">
      <c r="A896" t="s">
        <v>191</v>
      </c>
      <c r="B896" s="1" t="s">
        <v>158</v>
      </c>
      <c r="C896" s="1">
        <v>2016</v>
      </c>
      <c r="D896" s="1">
        <v>1</v>
      </c>
      <c r="E896" s="1">
        <v>2</v>
      </c>
      <c r="F896" s="1">
        <v>1.5</v>
      </c>
      <c r="G896" s="1">
        <v>1</v>
      </c>
      <c r="H896" s="2">
        <v>0.59450000000000003</v>
      </c>
      <c r="I896" s="2">
        <v>1.0335917312661498</v>
      </c>
      <c r="J896" s="6">
        <v>193737</v>
      </c>
      <c r="K896" s="7">
        <v>4.3502273700945091</v>
      </c>
      <c r="L896" s="7">
        <v>11.632780522047931</v>
      </c>
      <c r="M896">
        <v>184.4</v>
      </c>
      <c r="O896" s="7"/>
    </row>
    <row r="897" spans="1:15" x14ac:dyDescent="0.25">
      <c r="A897" t="s">
        <v>191</v>
      </c>
      <c r="B897" s="1" t="s">
        <v>158</v>
      </c>
      <c r="C897" s="1">
        <v>2017</v>
      </c>
      <c r="D897" s="1">
        <v>1</v>
      </c>
      <c r="E897" s="1">
        <v>2</v>
      </c>
      <c r="F897" s="1">
        <v>1.5</v>
      </c>
      <c r="G897" s="1">
        <v>1</v>
      </c>
      <c r="H897" s="5">
        <v>0.6774</v>
      </c>
      <c r="I897" s="2">
        <v>1.2224938875305622</v>
      </c>
      <c r="J897" s="3">
        <v>206500</v>
      </c>
      <c r="K897">
        <v>4.3502273700945091</v>
      </c>
      <c r="L897">
        <v>11.632780522047931</v>
      </c>
      <c r="M897">
        <v>188.8</v>
      </c>
    </row>
    <row r="898" spans="1:15" x14ac:dyDescent="0.25">
      <c r="A898" s="8" t="s">
        <v>191</v>
      </c>
      <c r="B898" s="1" t="s">
        <v>158</v>
      </c>
      <c r="C898" s="1">
        <v>2018</v>
      </c>
      <c r="D898" s="1">
        <v>1</v>
      </c>
      <c r="E898" s="1">
        <v>2</v>
      </c>
      <c r="F898" s="1">
        <v>1.5</v>
      </c>
      <c r="G898" s="1">
        <v>1</v>
      </c>
      <c r="H898" s="2">
        <v>0.62380000000000002</v>
      </c>
      <c r="I898" s="2">
        <v>1.1066843736166445</v>
      </c>
      <c r="J898" s="3">
        <v>213638</v>
      </c>
      <c r="K898">
        <v>4.3502273700945091</v>
      </c>
      <c r="L898">
        <v>11.632780522047931</v>
      </c>
      <c r="M898">
        <v>195.3</v>
      </c>
    </row>
    <row r="899" spans="1:15" x14ac:dyDescent="0.25">
      <c r="A899" s="8" t="s">
        <v>192</v>
      </c>
      <c r="B899" s="1" t="s">
        <v>158</v>
      </c>
      <c r="C899" s="1">
        <v>2014</v>
      </c>
      <c r="D899" s="9">
        <v>3</v>
      </c>
      <c r="E899" s="9">
        <v>5</v>
      </c>
      <c r="F899" s="9">
        <v>4</v>
      </c>
      <c r="G899" s="1">
        <v>2</v>
      </c>
      <c r="H899" s="5">
        <v>3.1879</v>
      </c>
      <c r="I899" s="2">
        <f>1/1.0341</f>
        <v>0.96702446571898271</v>
      </c>
      <c r="J899" s="3">
        <v>22786</v>
      </c>
      <c r="K899">
        <v>3.567164891838976</v>
      </c>
      <c r="L899">
        <v>4.3789694856979127</v>
      </c>
      <c r="M899">
        <v>0.4</v>
      </c>
    </row>
    <row r="900" spans="1:15" x14ac:dyDescent="0.25">
      <c r="A900" s="8" t="s">
        <v>192</v>
      </c>
      <c r="B900" s="1" t="s">
        <v>158</v>
      </c>
      <c r="C900" s="1">
        <v>2015</v>
      </c>
      <c r="D900" s="9">
        <v>3</v>
      </c>
      <c r="E900" s="9">
        <v>5</v>
      </c>
      <c r="F900" s="9">
        <v>4</v>
      </c>
      <c r="G900" s="1">
        <v>2</v>
      </c>
      <c r="H900" s="2">
        <v>1.361</v>
      </c>
      <c r="I900" s="2">
        <v>0.87950747581354438</v>
      </c>
      <c r="J900" s="3">
        <v>22173</v>
      </c>
      <c r="K900">
        <v>3.567164891838976</v>
      </c>
      <c r="L900">
        <v>4.3789694856979127</v>
      </c>
      <c r="M900">
        <v>0.4</v>
      </c>
    </row>
    <row r="901" spans="1:15" x14ac:dyDescent="0.25">
      <c r="A901" s="10" t="s">
        <v>192</v>
      </c>
      <c r="B901" s="9" t="s">
        <v>158</v>
      </c>
      <c r="C901" s="1">
        <v>2016</v>
      </c>
      <c r="D901" s="9">
        <v>3</v>
      </c>
      <c r="E901" s="9">
        <v>5</v>
      </c>
      <c r="F901" s="9">
        <v>4</v>
      </c>
      <c r="G901" s="1">
        <v>2</v>
      </c>
      <c r="H901" s="2">
        <v>2.0461999999999998</v>
      </c>
      <c r="I901" s="2">
        <v>1.0779346771585643</v>
      </c>
      <c r="J901" s="6">
        <v>20941</v>
      </c>
      <c r="K901" s="7">
        <v>3.567164891838976</v>
      </c>
      <c r="L901" s="7">
        <v>4.3789694856979127</v>
      </c>
      <c r="M901">
        <v>0.4</v>
      </c>
      <c r="O901" s="7"/>
    </row>
    <row r="902" spans="1:15" x14ac:dyDescent="0.25">
      <c r="A902" s="10" t="s">
        <v>192</v>
      </c>
      <c r="B902" s="9" t="s">
        <v>158</v>
      </c>
      <c r="C902" s="1">
        <v>2017</v>
      </c>
      <c r="D902" s="9">
        <v>3</v>
      </c>
      <c r="E902" s="9">
        <v>5</v>
      </c>
      <c r="F902" s="9">
        <v>4</v>
      </c>
      <c r="G902" s="1">
        <v>2</v>
      </c>
      <c r="H902" s="5">
        <v>1.5170999999999999</v>
      </c>
      <c r="I902" s="2">
        <v>1.0441683199331733</v>
      </c>
      <c r="J902" s="3">
        <v>21182</v>
      </c>
      <c r="K902">
        <v>3.567164891838976</v>
      </c>
      <c r="L902">
        <v>4.3789694856979127</v>
      </c>
      <c r="M902">
        <v>0.4</v>
      </c>
    </row>
    <row r="903" spans="1:15" x14ac:dyDescent="0.25">
      <c r="A903" s="8" t="s">
        <v>192</v>
      </c>
      <c r="B903" s="1" t="s">
        <v>158</v>
      </c>
      <c r="C903" s="1">
        <v>2018</v>
      </c>
      <c r="D903" s="9">
        <v>3</v>
      </c>
      <c r="E903" s="9">
        <v>5</v>
      </c>
      <c r="F903" s="9">
        <v>4</v>
      </c>
      <c r="G903" s="1">
        <v>2</v>
      </c>
      <c r="H903" s="2">
        <v>2.2999999999999998</v>
      </c>
      <c r="I903" s="2">
        <v>1.006137438374082</v>
      </c>
      <c r="J903" s="3">
        <v>20934</v>
      </c>
      <c r="K903">
        <v>3.567164891838976</v>
      </c>
      <c r="L903">
        <v>4.3789694856979127</v>
      </c>
      <c r="M903">
        <v>0.4</v>
      </c>
    </row>
    <row r="904" spans="1:15" x14ac:dyDescent="0.25">
      <c r="A904" s="8" t="s">
        <v>193</v>
      </c>
      <c r="B904" s="1" t="s">
        <v>158</v>
      </c>
      <c r="C904" s="1">
        <v>2014</v>
      </c>
      <c r="D904" s="9">
        <v>5</v>
      </c>
      <c r="E904" s="9">
        <v>5</v>
      </c>
      <c r="F904" s="9">
        <v>5</v>
      </c>
      <c r="G904" s="1">
        <v>0</v>
      </c>
      <c r="H904" s="2">
        <f>3842043/5768466</f>
        <v>0.6660424105819468</v>
      </c>
      <c r="I904" s="2">
        <f>(11792432+8075201)/20369908</f>
        <v>0.97534230395149546</v>
      </c>
      <c r="J904" s="3">
        <v>1014</v>
      </c>
      <c r="K904">
        <v>90.7</v>
      </c>
      <c r="L904">
        <v>5.9</v>
      </c>
      <c r="M904">
        <v>0.4</v>
      </c>
    </row>
    <row r="905" spans="1:15" x14ac:dyDescent="0.25">
      <c r="A905" s="8" t="s">
        <v>193</v>
      </c>
      <c r="B905" s="1" t="s">
        <v>158</v>
      </c>
      <c r="C905" s="1">
        <v>2015</v>
      </c>
      <c r="D905" s="9">
        <v>5</v>
      </c>
      <c r="E905" s="9">
        <v>5</v>
      </c>
      <c r="F905" s="9">
        <v>5</v>
      </c>
      <c r="G905" s="1">
        <v>0</v>
      </c>
      <c r="H905" s="2">
        <f>7156853/6164998</f>
        <v>1.1608848859318364</v>
      </c>
      <c r="I905" s="2">
        <f>(7541532+7498543)/19337574</f>
        <v>0.77776431521348022</v>
      </c>
      <c r="J905" s="3">
        <v>996</v>
      </c>
      <c r="K905">
        <v>90.7</v>
      </c>
      <c r="L905">
        <v>5.9</v>
      </c>
      <c r="M905">
        <v>0.4</v>
      </c>
    </row>
    <row r="906" spans="1:15" x14ac:dyDescent="0.25">
      <c r="A906" s="10" t="s">
        <v>193</v>
      </c>
      <c r="B906" s="1" t="s">
        <v>158</v>
      </c>
      <c r="C906" s="1">
        <v>2016</v>
      </c>
      <c r="D906" s="9">
        <v>5</v>
      </c>
      <c r="E906" s="9">
        <v>5</v>
      </c>
      <c r="F906" s="9">
        <v>5</v>
      </c>
      <c r="G906" s="1">
        <v>0</v>
      </c>
      <c r="H906" s="2">
        <v>2.42</v>
      </c>
      <c r="I906" s="2">
        <v>0.78382191566076187</v>
      </c>
      <c r="J906" s="6">
        <v>983</v>
      </c>
      <c r="K906" s="11">
        <v>90.7</v>
      </c>
      <c r="L906" s="11">
        <v>5.9</v>
      </c>
      <c r="M906">
        <v>0.4</v>
      </c>
      <c r="O906" s="7"/>
    </row>
    <row r="907" spans="1:15" x14ac:dyDescent="0.25">
      <c r="A907" s="10" t="s">
        <v>193</v>
      </c>
      <c r="B907" s="1" t="s">
        <v>158</v>
      </c>
      <c r="C907" s="1">
        <v>2017</v>
      </c>
      <c r="D907" s="9">
        <v>5</v>
      </c>
      <c r="E907" s="9">
        <v>5</v>
      </c>
      <c r="F907" s="9">
        <v>5</v>
      </c>
      <c r="G907" s="1">
        <v>0</v>
      </c>
      <c r="H907" s="5">
        <v>0.13</v>
      </c>
      <c r="I907" s="2">
        <v>0.73163593795727244</v>
      </c>
      <c r="J907" s="3">
        <v>972</v>
      </c>
      <c r="K907">
        <v>90.7</v>
      </c>
      <c r="L907">
        <v>5.9</v>
      </c>
      <c r="M907">
        <v>0.4</v>
      </c>
    </row>
    <row r="908" spans="1:15" x14ac:dyDescent="0.25">
      <c r="A908" s="8" t="s">
        <v>193</v>
      </c>
      <c r="B908" s="1" t="s">
        <v>158</v>
      </c>
      <c r="C908" s="1">
        <v>2018</v>
      </c>
      <c r="D908" s="9">
        <v>5</v>
      </c>
      <c r="E908" s="9">
        <v>5</v>
      </c>
      <c r="F908" s="9">
        <v>5</v>
      </c>
      <c r="G908" s="1">
        <v>0</v>
      </c>
      <c r="H908" s="2">
        <v>0.82</v>
      </c>
      <c r="I908" s="2">
        <v>0.70937078811094556</v>
      </c>
      <c r="J908" s="3">
        <v>977</v>
      </c>
      <c r="K908">
        <v>90.7</v>
      </c>
      <c r="L908">
        <v>5.9</v>
      </c>
      <c r="M908">
        <v>0.4</v>
      </c>
    </row>
    <row r="909" spans="1:15" x14ac:dyDescent="0.25">
      <c r="A909" s="8" t="s">
        <v>194</v>
      </c>
      <c r="B909" s="1" t="s">
        <v>158</v>
      </c>
      <c r="C909" s="1">
        <v>2014</v>
      </c>
      <c r="D909" s="9">
        <v>2</v>
      </c>
      <c r="E909" s="9">
        <v>4</v>
      </c>
      <c r="F909" s="9">
        <v>3</v>
      </c>
      <c r="G909" s="1">
        <v>2</v>
      </c>
      <c r="H909" s="5">
        <v>0.46949999999999997</v>
      </c>
      <c r="I909" s="2">
        <f>1/1.1606</f>
        <v>0.86162329829398576</v>
      </c>
      <c r="J909" s="3">
        <v>36063</v>
      </c>
      <c r="K909">
        <v>4.4361731458505655</v>
      </c>
      <c r="L909">
        <v>2.5255031706644613</v>
      </c>
      <c r="M909">
        <v>3.1</v>
      </c>
    </row>
    <row r="910" spans="1:15" x14ac:dyDescent="0.25">
      <c r="A910" s="8" t="s">
        <v>194</v>
      </c>
      <c r="B910" s="1" t="s">
        <v>158</v>
      </c>
      <c r="C910" s="1">
        <v>2015</v>
      </c>
      <c r="D910" s="9">
        <v>2</v>
      </c>
      <c r="E910" s="9">
        <v>4</v>
      </c>
      <c r="F910" s="9">
        <v>3</v>
      </c>
      <c r="G910" s="1">
        <v>2</v>
      </c>
      <c r="H910" s="2">
        <v>0.48100000000000004</v>
      </c>
      <c r="I910" s="2">
        <v>0.88952143746664292</v>
      </c>
      <c r="J910" s="3">
        <v>36579</v>
      </c>
      <c r="K910">
        <v>4.4361731458505655</v>
      </c>
      <c r="L910">
        <v>2.5255031706644613</v>
      </c>
      <c r="M910">
        <v>3.1</v>
      </c>
    </row>
    <row r="911" spans="1:15" x14ac:dyDescent="0.25">
      <c r="A911" s="10" t="s">
        <v>194</v>
      </c>
      <c r="B911" s="9" t="s">
        <v>158</v>
      </c>
      <c r="C911" s="1">
        <v>2016</v>
      </c>
      <c r="D911" s="9">
        <v>2</v>
      </c>
      <c r="E911" s="9">
        <v>4</v>
      </c>
      <c r="F911" s="9">
        <v>3</v>
      </c>
      <c r="G911" s="1">
        <v>2</v>
      </c>
      <c r="H911" s="2">
        <v>0.36799999999999999</v>
      </c>
      <c r="I911" s="2">
        <v>1.0803802938634399</v>
      </c>
      <c r="J911" s="6">
        <v>36270</v>
      </c>
      <c r="K911" s="7">
        <v>4.4361731458505655</v>
      </c>
      <c r="L911" s="7">
        <v>2.5255031706644613</v>
      </c>
      <c r="M911">
        <v>3.1</v>
      </c>
      <c r="O911" s="7"/>
    </row>
    <row r="912" spans="1:15" x14ac:dyDescent="0.25">
      <c r="A912" s="10" t="s">
        <v>194</v>
      </c>
      <c r="B912" s="9" t="s">
        <v>158</v>
      </c>
      <c r="C912" s="1">
        <v>2017</v>
      </c>
      <c r="D912" s="9">
        <v>2</v>
      </c>
      <c r="E912" s="9">
        <v>4</v>
      </c>
      <c r="F912" s="9">
        <v>3</v>
      </c>
      <c r="G912" s="1">
        <v>2</v>
      </c>
      <c r="H912" s="5">
        <v>0.48</v>
      </c>
      <c r="I912" s="2">
        <v>1.0257462303826033</v>
      </c>
      <c r="J912" s="3">
        <v>37286</v>
      </c>
      <c r="K912">
        <v>4.4361731458505655</v>
      </c>
      <c r="L912">
        <v>2.5255031706644613</v>
      </c>
      <c r="M912">
        <v>3.2</v>
      </c>
    </row>
    <row r="913" spans="1:15" x14ac:dyDescent="0.25">
      <c r="A913" s="8" t="s">
        <v>194</v>
      </c>
      <c r="B913" s="1" t="s">
        <v>158</v>
      </c>
      <c r="C913" s="1">
        <v>2018</v>
      </c>
      <c r="D913" s="9">
        <v>2</v>
      </c>
      <c r="E913" s="9">
        <v>4</v>
      </c>
      <c r="F913" s="9">
        <v>3</v>
      </c>
      <c r="G913" s="1">
        <v>2</v>
      </c>
      <c r="H913" s="2">
        <v>0.54500000000000004</v>
      </c>
      <c r="I913" s="2">
        <v>1.0496483677967881</v>
      </c>
      <c r="J913" s="3">
        <v>37638</v>
      </c>
      <c r="K913">
        <v>4.4361731458505655</v>
      </c>
      <c r="L913">
        <v>2.5255031706644613</v>
      </c>
      <c r="M913">
        <v>3.2</v>
      </c>
    </row>
    <row r="914" spans="1:15" x14ac:dyDescent="0.25">
      <c r="A914" s="8" t="s">
        <v>195</v>
      </c>
      <c r="B914" s="1" t="s">
        <v>158</v>
      </c>
      <c r="C914" s="1">
        <v>2014</v>
      </c>
      <c r="D914" s="1">
        <v>5</v>
      </c>
      <c r="E914" s="1">
        <v>5</v>
      </c>
      <c r="F914" s="1">
        <v>5</v>
      </c>
      <c r="G914" s="1">
        <v>0</v>
      </c>
      <c r="H914" s="2">
        <v>1.9200999999999999</v>
      </c>
      <c r="I914" s="2">
        <f>1/1.1842</f>
        <v>0.84445195068400614</v>
      </c>
      <c r="J914" s="3">
        <v>671</v>
      </c>
      <c r="K914">
        <v>88.9</v>
      </c>
      <c r="L914">
        <v>37.799999999999997</v>
      </c>
      <c r="M914">
        <v>0.2</v>
      </c>
    </row>
    <row r="915" spans="1:15" x14ac:dyDescent="0.25">
      <c r="A915" s="8" t="s">
        <v>195</v>
      </c>
      <c r="B915" s="1" t="s">
        <v>158</v>
      </c>
      <c r="C915" s="1">
        <v>2015</v>
      </c>
      <c r="D915" s="1">
        <v>5</v>
      </c>
      <c r="E915" s="1">
        <v>5</v>
      </c>
      <c r="F915" s="1">
        <v>5</v>
      </c>
      <c r="G915" s="1">
        <v>0</v>
      </c>
      <c r="H915" s="2">
        <v>3.46</v>
      </c>
      <c r="I915" s="2">
        <v>1.2639029322548028</v>
      </c>
      <c r="J915" s="3">
        <v>697</v>
      </c>
      <c r="K915">
        <v>88.9</v>
      </c>
      <c r="L915">
        <v>37.799999999999997</v>
      </c>
      <c r="M915">
        <v>0.2</v>
      </c>
    </row>
    <row r="916" spans="1:15" x14ac:dyDescent="0.25">
      <c r="A916" t="s">
        <v>195</v>
      </c>
      <c r="B916" s="1" t="s">
        <v>158</v>
      </c>
      <c r="C916" s="1">
        <v>2016</v>
      </c>
      <c r="D916" s="1">
        <v>5</v>
      </c>
      <c r="E916" s="1">
        <v>5</v>
      </c>
      <c r="F916" s="1">
        <v>5</v>
      </c>
      <c r="G916" s="1">
        <v>0</v>
      </c>
      <c r="H916" s="5">
        <v>1.58</v>
      </c>
      <c r="I916" s="2">
        <v>1.1633317822242903</v>
      </c>
      <c r="J916" s="3">
        <v>746</v>
      </c>
      <c r="K916" s="11">
        <v>88.9</v>
      </c>
      <c r="L916" s="11">
        <v>37.799999999999997</v>
      </c>
      <c r="M916">
        <v>0.2</v>
      </c>
      <c r="O916" s="7"/>
    </row>
    <row r="917" spans="1:15" x14ac:dyDescent="0.25">
      <c r="A917" t="s">
        <v>195</v>
      </c>
      <c r="B917" s="1" t="s">
        <v>158</v>
      </c>
      <c r="C917" s="1">
        <v>2017</v>
      </c>
      <c r="D917" s="1">
        <v>5</v>
      </c>
      <c r="E917" s="1">
        <v>5</v>
      </c>
      <c r="F917" s="1">
        <v>5</v>
      </c>
      <c r="G917" s="1">
        <v>0</v>
      </c>
      <c r="H917" s="5">
        <v>3.55</v>
      </c>
      <c r="I917" s="2">
        <v>0.82637798529047191</v>
      </c>
      <c r="J917" s="3">
        <v>760</v>
      </c>
      <c r="K917">
        <v>88.9</v>
      </c>
      <c r="L917">
        <v>37.799999999999997</v>
      </c>
      <c r="M917">
        <v>0.2</v>
      </c>
    </row>
    <row r="918" spans="1:15" x14ac:dyDescent="0.25">
      <c r="A918" s="8" t="s">
        <v>195</v>
      </c>
      <c r="B918" s="1" t="s">
        <v>158</v>
      </c>
      <c r="C918" s="1">
        <v>2018</v>
      </c>
      <c r="D918" s="1">
        <v>5</v>
      </c>
      <c r="E918" s="1">
        <v>5</v>
      </c>
      <c r="F918" s="1">
        <v>5</v>
      </c>
      <c r="G918" s="1">
        <v>0</v>
      </c>
      <c r="H918" s="2">
        <v>2.0299999999999998</v>
      </c>
      <c r="I918" s="2">
        <v>1.0614584439019212</v>
      </c>
      <c r="J918" s="3">
        <v>782</v>
      </c>
      <c r="K918">
        <v>88.9</v>
      </c>
      <c r="L918">
        <v>37.799999999999997</v>
      </c>
      <c r="M918">
        <v>0.2</v>
      </c>
    </row>
    <row r="919" spans="1:15" x14ac:dyDescent="0.25">
      <c r="A919" s="8" t="s">
        <v>196</v>
      </c>
      <c r="B919" s="1" t="s">
        <v>158</v>
      </c>
      <c r="C919" s="1">
        <v>2014</v>
      </c>
      <c r="D919" s="1">
        <v>2</v>
      </c>
      <c r="E919" s="1">
        <v>2</v>
      </c>
      <c r="F919" s="1">
        <v>2</v>
      </c>
      <c r="G919" s="1">
        <v>0</v>
      </c>
      <c r="H919" s="5">
        <v>0.88580000000000003</v>
      </c>
      <c r="I919" s="2">
        <f>1/1.1169</f>
        <v>0.89533530307100007</v>
      </c>
      <c r="J919" s="3">
        <v>38363</v>
      </c>
      <c r="K919">
        <v>3.8934797813641424</v>
      </c>
      <c r="L919">
        <v>6.0824288267751214</v>
      </c>
      <c r="M919">
        <v>16.899999999999999</v>
      </c>
    </row>
    <row r="920" spans="1:15" x14ac:dyDescent="0.25">
      <c r="A920" s="8" t="s">
        <v>196</v>
      </c>
      <c r="B920" s="1" t="s">
        <v>158</v>
      </c>
      <c r="C920" s="1">
        <v>2015</v>
      </c>
      <c r="D920" s="1">
        <v>2</v>
      </c>
      <c r="E920" s="1">
        <v>2</v>
      </c>
      <c r="F920" s="1">
        <v>2</v>
      </c>
      <c r="G920" s="1">
        <v>0</v>
      </c>
      <c r="H920" s="2">
        <v>2.5522999999999998</v>
      </c>
      <c r="I920" s="2">
        <v>0.86971647242998784</v>
      </c>
      <c r="J920" s="3">
        <v>38861</v>
      </c>
      <c r="K920">
        <v>3.8934797813641424</v>
      </c>
      <c r="L920">
        <v>6.0824288267751214</v>
      </c>
      <c r="M920">
        <v>17.100000000000001</v>
      </c>
    </row>
    <row r="921" spans="1:15" x14ac:dyDescent="0.25">
      <c r="A921" t="s">
        <v>196</v>
      </c>
      <c r="B921" s="1" t="s">
        <v>158</v>
      </c>
      <c r="C921" s="1">
        <v>2016</v>
      </c>
      <c r="D921" s="1">
        <v>2</v>
      </c>
      <c r="E921" s="1">
        <v>2</v>
      </c>
      <c r="F921" s="1">
        <v>2</v>
      </c>
      <c r="G921" s="1">
        <v>0</v>
      </c>
      <c r="H921" s="2">
        <v>0.50590000000000002</v>
      </c>
      <c r="I921" s="2">
        <v>0.95265313899209292</v>
      </c>
      <c r="J921" s="6">
        <v>38603</v>
      </c>
      <c r="K921" s="7">
        <v>3.8934797813641424</v>
      </c>
      <c r="L921" s="7">
        <v>6.0824288267751214</v>
      </c>
      <c r="M921">
        <v>17.399999999999999</v>
      </c>
      <c r="O921" s="7"/>
    </row>
    <row r="922" spans="1:15" x14ac:dyDescent="0.25">
      <c r="A922" t="s">
        <v>196</v>
      </c>
      <c r="B922" s="1" t="s">
        <v>158</v>
      </c>
      <c r="C922" s="1">
        <v>2017</v>
      </c>
      <c r="D922" s="1">
        <v>2</v>
      </c>
      <c r="E922" s="1">
        <v>2</v>
      </c>
      <c r="F922" s="1">
        <v>2</v>
      </c>
      <c r="G922" s="1">
        <v>0</v>
      </c>
      <c r="H922" s="5">
        <v>0.60150000000000003</v>
      </c>
      <c r="I922" s="2">
        <f>60264/54967</f>
        <v>1.0963669110557244</v>
      </c>
      <c r="J922" s="3">
        <v>40219</v>
      </c>
      <c r="K922">
        <v>3.8934797813641424</v>
      </c>
      <c r="L922">
        <v>6.0824288267751214</v>
      </c>
      <c r="M922">
        <v>17.7</v>
      </c>
    </row>
    <row r="923" spans="1:15" x14ac:dyDescent="0.25">
      <c r="A923" s="8" t="s">
        <v>196</v>
      </c>
      <c r="B923" s="1" t="s">
        <v>158</v>
      </c>
      <c r="C923" s="1">
        <v>2018</v>
      </c>
      <c r="D923" s="1">
        <v>2</v>
      </c>
      <c r="E923" s="1">
        <v>2</v>
      </c>
      <c r="F923" s="1">
        <v>2</v>
      </c>
      <c r="G923" s="1">
        <v>0</v>
      </c>
      <c r="H923" s="2">
        <v>0.97529999999999994</v>
      </c>
      <c r="I923" s="2">
        <v>1.0548523206751055</v>
      </c>
      <c r="J923" s="3">
        <v>41011</v>
      </c>
      <c r="K923">
        <v>3.8934797813641424</v>
      </c>
      <c r="L923">
        <v>6.0824288267751214</v>
      </c>
      <c r="M923">
        <v>18.100000000000001</v>
      </c>
    </row>
    <row r="924" spans="1:15" x14ac:dyDescent="0.25">
      <c r="A924" s="8" t="s">
        <v>197</v>
      </c>
      <c r="B924" s="1" t="s">
        <v>158</v>
      </c>
      <c r="C924" s="1">
        <v>2014</v>
      </c>
      <c r="D924" s="1">
        <v>1</v>
      </c>
      <c r="E924" s="1">
        <v>2</v>
      </c>
      <c r="F924" s="1">
        <v>1.5</v>
      </c>
      <c r="G924" s="1">
        <v>1</v>
      </c>
      <c r="H924" s="5">
        <v>0.80310000000000004</v>
      </c>
      <c r="I924" s="2">
        <f>1/0.9787</f>
        <v>1.021763563911311</v>
      </c>
      <c r="J924" s="3">
        <v>305147</v>
      </c>
      <c r="K924">
        <v>3.2358331355641692</v>
      </c>
      <c r="L924">
        <v>15.940194604857211</v>
      </c>
      <c r="M924">
        <v>318.5</v>
      </c>
    </row>
    <row r="925" spans="1:15" x14ac:dyDescent="0.25">
      <c r="A925" s="8" t="s">
        <v>197</v>
      </c>
      <c r="B925" s="1" t="s">
        <v>158</v>
      </c>
      <c r="C925" s="1">
        <v>2015</v>
      </c>
      <c r="D925" s="1">
        <v>1</v>
      </c>
      <c r="E925" s="1">
        <v>2</v>
      </c>
      <c r="F925" s="1">
        <v>1.5</v>
      </c>
      <c r="G925" s="1">
        <v>1</v>
      </c>
      <c r="H925" s="2">
        <v>0.69400000000000006</v>
      </c>
      <c r="I925" s="2">
        <v>1.0741138560687433</v>
      </c>
      <c r="J925" s="3">
        <v>309342</v>
      </c>
      <c r="K925">
        <v>3.2358331355641692</v>
      </c>
      <c r="L925">
        <v>15.940194604857211</v>
      </c>
      <c r="M925">
        <v>322.89999999999998</v>
      </c>
    </row>
    <row r="926" spans="1:15" x14ac:dyDescent="0.25">
      <c r="A926" t="s">
        <v>197</v>
      </c>
      <c r="B926" s="1" t="s">
        <v>158</v>
      </c>
      <c r="C926" s="1">
        <v>2016</v>
      </c>
      <c r="D926" s="1">
        <v>1</v>
      </c>
      <c r="E926" s="1">
        <v>2</v>
      </c>
      <c r="F926" s="1">
        <v>1.5</v>
      </c>
      <c r="G926" s="1">
        <v>1</v>
      </c>
      <c r="H926" s="2">
        <v>0.86399999999999999</v>
      </c>
      <c r="I926" s="2">
        <v>1.0712372790573113</v>
      </c>
      <c r="J926" s="6">
        <v>303384</v>
      </c>
      <c r="K926" s="7">
        <v>3.2358331355641692</v>
      </c>
      <c r="L926" s="7">
        <v>15.940194604857211</v>
      </c>
      <c r="M926">
        <v>328.3</v>
      </c>
      <c r="O926" s="7"/>
    </row>
    <row r="927" spans="1:15" x14ac:dyDescent="0.25">
      <c r="A927" t="s">
        <v>197</v>
      </c>
      <c r="B927" s="1" t="s">
        <v>158</v>
      </c>
      <c r="C927" s="1">
        <v>2017</v>
      </c>
      <c r="D927" s="1">
        <v>1</v>
      </c>
      <c r="E927" s="1">
        <v>2</v>
      </c>
      <c r="F927" s="1">
        <v>1.5</v>
      </c>
      <c r="G927" s="1">
        <v>1</v>
      </c>
      <c r="H927" s="5">
        <v>0.86399999999999999</v>
      </c>
      <c r="I927" s="2">
        <v>1.0692899914456799</v>
      </c>
      <c r="J927" s="3">
        <v>320487</v>
      </c>
      <c r="K927">
        <v>3.2358331355641692</v>
      </c>
      <c r="L927">
        <v>15.940194604857211</v>
      </c>
      <c r="M927">
        <v>334.5</v>
      </c>
    </row>
    <row r="928" spans="1:15" x14ac:dyDescent="0.25">
      <c r="A928" s="8" t="s">
        <v>197</v>
      </c>
      <c r="B928" s="1" t="s">
        <v>158</v>
      </c>
      <c r="C928" s="1">
        <v>2018</v>
      </c>
      <c r="D928" s="1">
        <v>1</v>
      </c>
      <c r="E928" s="1">
        <v>2</v>
      </c>
      <c r="F928" s="1">
        <v>1.5</v>
      </c>
      <c r="G928" s="1">
        <v>1</v>
      </c>
      <c r="H928" s="2">
        <v>0.92400000000000004</v>
      </c>
      <c r="I928" s="2">
        <v>1.0660980810234542</v>
      </c>
      <c r="J928" s="3">
        <v>326615</v>
      </c>
      <c r="K928">
        <v>3.2358331355641692</v>
      </c>
      <c r="L928">
        <v>15.940194604857211</v>
      </c>
      <c r="M928">
        <v>340.9</v>
      </c>
    </row>
    <row r="929" spans="1:15" x14ac:dyDescent="0.25">
      <c r="A929" s="8" t="s">
        <v>198</v>
      </c>
      <c r="B929" s="1" t="s">
        <v>158</v>
      </c>
      <c r="C929" s="1">
        <v>2014</v>
      </c>
      <c r="D929" s="1">
        <v>5</v>
      </c>
      <c r="E929" s="1">
        <v>5</v>
      </c>
      <c r="F929" s="1">
        <v>5</v>
      </c>
      <c r="G929" s="1">
        <v>0</v>
      </c>
      <c r="H929" s="5">
        <v>2.0872999999999999</v>
      </c>
      <c r="I929" s="2">
        <f>1/1.0047</f>
        <v>0.99532198666268545</v>
      </c>
      <c r="J929" s="3">
        <v>4027</v>
      </c>
      <c r="K929">
        <v>5.214305214305214</v>
      </c>
      <c r="L929">
        <v>2.0202020202020203</v>
      </c>
      <c r="M929">
        <v>0.1</v>
      </c>
    </row>
    <row r="930" spans="1:15" x14ac:dyDescent="0.25">
      <c r="A930" s="8" t="s">
        <v>198</v>
      </c>
      <c r="B930" s="1" t="s">
        <v>158</v>
      </c>
      <c r="C930" s="1">
        <v>2015</v>
      </c>
      <c r="D930" s="1">
        <v>5</v>
      </c>
      <c r="E930" s="1">
        <v>5</v>
      </c>
      <c r="F930" s="1">
        <v>5</v>
      </c>
      <c r="G930" s="1">
        <v>0</v>
      </c>
      <c r="H930" s="2">
        <v>1.1354</v>
      </c>
      <c r="I930" s="2">
        <v>1.1314777098891151</v>
      </c>
      <c r="J930" s="3">
        <v>3812</v>
      </c>
      <c r="K930">
        <v>5.214305214305214</v>
      </c>
      <c r="L930">
        <v>2.0202020202020203</v>
      </c>
      <c r="M930">
        <v>0.1</v>
      </c>
    </row>
    <row r="931" spans="1:15" x14ac:dyDescent="0.25">
      <c r="A931" t="s">
        <v>198</v>
      </c>
      <c r="B931" s="1" t="s">
        <v>158</v>
      </c>
      <c r="C931" s="1">
        <v>2016</v>
      </c>
      <c r="D931" s="1">
        <v>5</v>
      </c>
      <c r="E931" s="1">
        <v>5</v>
      </c>
      <c r="F931" s="1">
        <v>5</v>
      </c>
      <c r="G931" s="1">
        <v>0</v>
      </c>
      <c r="H931" s="2">
        <v>1.4357</v>
      </c>
      <c r="I931" s="2">
        <v>0.87581012436503769</v>
      </c>
      <c r="J931" s="6">
        <v>3663</v>
      </c>
      <c r="K931" s="7">
        <v>5.214305214305214</v>
      </c>
      <c r="L931" s="7">
        <v>2.0202020202020203</v>
      </c>
      <c r="M931">
        <v>0.1</v>
      </c>
      <c r="O931" s="7"/>
    </row>
    <row r="932" spans="1:15" x14ac:dyDescent="0.25">
      <c r="A932" t="s">
        <v>198</v>
      </c>
      <c r="B932" s="1" t="s">
        <v>158</v>
      </c>
      <c r="C932" s="1">
        <v>2017</v>
      </c>
      <c r="D932" s="1">
        <v>5</v>
      </c>
      <c r="E932" s="1">
        <v>5</v>
      </c>
      <c r="F932" s="1">
        <v>5</v>
      </c>
      <c r="G932" s="1">
        <v>0</v>
      </c>
      <c r="H932" s="5">
        <v>1.6092</v>
      </c>
      <c r="I932" s="2">
        <v>1.2347203358439311</v>
      </c>
      <c r="J932" s="3">
        <v>3598</v>
      </c>
      <c r="K932">
        <v>5.214305214305214</v>
      </c>
      <c r="L932">
        <v>2.0202020202020203</v>
      </c>
      <c r="M932">
        <v>0.1</v>
      </c>
    </row>
    <row r="933" spans="1:15" x14ac:dyDescent="0.25">
      <c r="A933" s="8" t="s">
        <v>198</v>
      </c>
      <c r="B933" s="1" t="s">
        <v>158</v>
      </c>
      <c r="C933" s="1">
        <v>2018</v>
      </c>
      <c r="D933" s="1">
        <v>5</v>
      </c>
      <c r="E933" s="1">
        <v>5</v>
      </c>
      <c r="F933" s="1">
        <v>5</v>
      </c>
      <c r="G933" s="1">
        <v>0</v>
      </c>
      <c r="H933" s="2">
        <v>1.9204000000000001</v>
      </c>
      <c r="I933" s="2">
        <v>0.81980652565994427</v>
      </c>
      <c r="J933" s="3">
        <v>3530</v>
      </c>
      <c r="K933">
        <v>5.214305214305214</v>
      </c>
      <c r="L933">
        <v>2.0202020202020203</v>
      </c>
      <c r="M933">
        <v>0.1</v>
      </c>
    </row>
    <row r="934" spans="1:15" x14ac:dyDescent="0.25">
      <c r="A934" s="8" t="s">
        <v>199</v>
      </c>
      <c r="B934" s="1" t="s">
        <v>158</v>
      </c>
      <c r="C934" s="1">
        <v>2014</v>
      </c>
      <c r="D934" s="1">
        <v>2</v>
      </c>
      <c r="E934" s="1">
        <v>3</v>
      </c>
      <c r="F934" s="1">
        <v>2.5</v>
      </c>
      <c r="G934" s="1">
        <v>1</v>
      </c>
      <c r="H934" s="5">
        <v>1.3955</v>
      </c>
      <c r="I934" s="2">
        <f>1/1.0246</f>
        <v>0.97599063048994739</v>
      </c>
      <c r="J934" s="3">
        <v>118916</v>
      </c>
      <c r="K934">
        <v>5.1439505958076017</v>
      </c>
      <c r="L934">
        <v>5.4770809776463425</v>
      </c>
      <c r="M934">
        <v>15.6</v>
      </c>
    </row>
    <row r="935" spans="1:15" x14ac:dyDescent="0.25">
      <c r="A935" s="8" t="s">
        <v>199</v>
      </c>
      <c r="B935" s="1" t="s">
        <v>158</v>
      </c>
      <c r="C935" s="1">
        <v>2015</v>
      </c>
      <c r="D935" s="1">
        <v>2</v>
      </c>
      <c r="E935" s="1">
        <v>3</v>
      </c>
      <c r="F935" s="1">
        <v>2.5</v>
      </c>
      <c r="G935" s="1">
        <v>1</v>
      </c>
      <c r="H935" s="2">
        <v>0.69</v>
      </c>
      <c r="I935" s="2">
        <v>1.0127607859023697</v>
      </c>
      <c r="J935" s="3">
        <v>118292</v>
      </c>
      <c r="K935">
        <v>5.1439505958076017</v>
      </c>
      <c r="L935">
        <v>5.4770809776463425</v>
      </c>
      <c r="M935">
        <v>15.5</v>
      </c>
    </row>
    <row r="936" spans="1:15" x14ac:dyDescent="0.25">
      <c r="A936" t="s">
        <v>199</v>
      </c>
      <c r="B936" s="1" t="s">
        <v>158</v>
      </c>
      <c r="C936" s="1">
        <v>2016</v>
      </c>
      <c r="D936" s="1">
        <v>2</v>
      </c>
      <c r="E936" s="1">
        <v>3</v>
      </c>
      <c r="F936" s="1">
        <v>2.5</v>
      </c>
      <c r="G936" s="1">
        <v>1</v>
      </c>
      <c r="H936" s="2">
        <v>0.54</v>
      </c>
      <c r="I936" s="2">
        <v>0.99127676447264079</v>
      </c>
      <c r="J936" s="6">
        <v>114970</v>
      </c>
      <c r="K936" s="7">
        <v>5.1439505958076017</v>
      </c>
      <c r="L936" s="7">
        <v>5.4770809776463425</v>
      </c>
      <c r="M936">
        <v>15.4</v>
      </c>
      <c r="O936" s="7"/>
    </row>
    <row r="937" spans="1:15" x14ac:dyDescent="0.25">
      <c r="A937" t="s">
        <v>199</v>
      </c>
      <c r="B937" s="1" t="s">
        <v>158</v>
      </c>
      <c r="C937" s="1">
        <v>2017</v>
      </c>
      <c r="D937" s="1">
        <v>2</v>
      </c>
      <c r="E937" s="1">
        <v>3</v>
      </c>
      <c r="F937" s="1">
        <v>2.5</v>
      </c>
      <c r="G937" s="1">
        <v>1</v>
      </c>
      <c r="H937" s="5">
        <v>0.49299999999999999</v>
      </c>
      <c r="I937" s="2">
        <v>0.99255583126550861</v>
      </c>
      <c r="J937" s="3">
        <v>116601</v>
      </c>
      <c r="K937">
        <v>5.1439505958076017</v>
      </c>
      <c r="L937">
        <v>5.4770809776463425</v>
      </c>
      <c r="M937">
        <v>15.3</v>
      </c>
    </row>
    <row r="938" spans="1:15" x14ac:dyDescent="0.25">
      <c r="A938" s="8" t="s">
        <v>199</v>
      </c>
      <c r="B938" s="1" t="s">
        <v>158</v>
      </c>
      <c r="C938" s="1">
        <v>2018</v>
      </c>
      <c r="D938" s="1">
        <v>2</v>
      </c>
      <c r="E938" s="1">
        <v>3</v>
      </c>
      <c r="F938" s="1">
        <v>2.5</v>
      </c>
      <c r="G938" s="1">
        <v>1</v>
      </c>
      <c r="H938" s="2">
        <v>0.59</v>
      </c>
      <c r="I938" s="2">
        <v>1.0054293183189222</v>
      </c>
      <c r="J938" s="3">
        <v>116539</v>
      </c>
      <c r="K938">
        <v>5.1439505958076017</v>
      </c>
      <c r="L938">
        <v>5.4770809776463425</v>
      </c>
      <c r="M938">
        <v>15.3</v>
      </c>
    </row>
    <row r="939" spans="1:15" x14ac:dyDescent="0.25">
      <c r="A939" s="8" t="s">
        <v>200</v>
      </c>
      <c r="B939" s="1" t="s">
        <v>158</v>
      </c>
      <c r="C939" s="1">
        <v>2014</v>
      </c>
      <c r="D939" s="1">
        <v>5</v>
      </c>
      <c r="E939" s="1">
        <v>5</v>
      </c>
      <c r="F939" s="1">
        <v>5</v>
      </c>
      <c r="G939" s="1">
        <v>0</v>
      </c>
      <c r="H939" s="5">
        <v>0.25679999999999997</v>
      </c>
      <c r="I939" s="2">
        <f>1/1.1539</f>
        <v>0.8666262241095416</v>
      </c>
      <c r="J939" s="3">
        <v>302</v>
      </c>
      <c r="K939">
        <v>89.4</v>
      </c>
      <c r="L939">
        <v>9.4</v>
      </c>
      <c r="M939">
        <v>0.6</v>
      </c>
    </row>
    <row r="940" spans="1:15" x14ac:dyDescent="0.25">
      <c r="A940" s="8" t="s">
        <v>200</v>
      </c>
      <c r="B940" s="1" t="s">
        <v>158</v>
      </c>
      <c r="C940" s="1">
        <v>2015</v>
      </c>
      <c r="D940" s="1">
        <v>5</v>
      </c>
      <c r="E940" s="1">
        <v>5</v>
      </c>
      <c r="F940" s="1">
        <v>5</v>
      </c>
      <c r="G940" s="1">
        <v>0</v>
      </c>
      <c r="H940" s="2">
        <v>1.0011000000000001</v>
      </c>
      <c r="I940" s="2">
        <v>0.83815271142402137</v>
      </c>
      <c r="J940" s="3">
        <v>304</v>
      </c>
      <c r="K940">
        <v>89.4</v>
      </c>
      <c r="L940">
        <v>9.4</v>
      </c>
      <c r="M940">
        <v>0.6</v>
      </c>
    </row>
    <row r="941" spans="1:15" x14ac:dyDescent="0.25">
      <c r="A941" t="s">
        <v>200</v>
      </c>
      <c r="B941" s="1" t="s">
        <v>158</v>
      </c>
      <c r="C941" s="1">
        <v>2016</v>
      </c>
      <c r="D941" s="1">
        <v>5</v>
      </c>
      <c r="E941" s="1">
        <v>5</v>
      </c>
      <c r="F941" s="1">
        <v>5</v>
      </c>
      <c r="G941" s="1">
        <v>0</v>
      </c>
      <c r="H941" s="5">
        <v>3.0800000000000001E-2</v>
      </c>
      <c r="I941" s="2">
        <v>0.89928057553956831</v>
      </c>
      <c r="J941" s="3">
        <v>318</v>
      </c>
      <c r="K941" s="11">
        <v>89.4</v>
      </c>
      <c r="L941" s="11">
        <v>9.4</v>
      </c>
      <c r="M941">
        <v>0.6</v>
      </c>
      <c r="O941" s="7"/>
    </row>
    <row r="942" spans="1:15" x14ac:dyDescent="0.25">
      <c r="A942" t="s">
        <v>200</v>
      </c>
      <c r="B942" s="1" t="s">
        <v>158</v>
      </c>
      <c r="C942" s="1">
        <v>2017</v>
      </c>
      <c r="D942" s="1">
        <v>5</v>
      </c>
      <c r="E942" s="1">
        <v>5</v>
      </c>
      <c r="F942" s="1">
        <v>5</v>
      </c>
      <c r="G942" s="1">
        <v>0</v>
      </c>
      <c r="H942" s="5">
        <v>0.2611</v>
      </c>
      <c r="I942" s="2">
        <v>0.93170595360104358</v>
      </c>
      <c r="J942" s="3">
        <v>322</v>
      </c>
      <c r="K942">
        <v>89.4</v>
      </c>
      <c r="L942">
        <v>9.4</v>
      </c>
      <c r="M942">
        <v>0.6</v>
      </c>
    </row>
    <row r="943" spans="1:15" x14ac:dyDescent="0.25">
      <c r="A943" s="8" t="s">
        <v>200</v>
      </c>
      <c r="B943" s="1" t="s">
        <v>158</v>
      </c>
      <c r="C943" s="1">
        <v>2018</v>
      </c>
      <c r="D943" s="1">
        <v>5</v>
      </c>
      <c r="E943" s="1">
        <v>5</v>
      </c>
      <c r="F943" s="1">
        <v>5</v>
      </c>
      <c r="G943" s="1">
        <v>0</v>
      </c>
      <c r="H943" s="2">
        <v>0.77</v>
      </c>
      <c r="I943" s="2">
        <v>0.82576383154417832</v>
      </c>
      <c r="J943" s="3">
        <v>325</v>
      </c>
      <c r="K943">
        <v>89.4</v>
      </c>
      <c r="L943">
        <v>9.4</v>
      </c>
      <c r="M943">
        <v>0.6</v>
      </c>
    </row>
    <row r="944" spans="1:15" x14ac:dyDescent="0.25">
      <c r="A944" s="8" t="s">
        <v>201</v>
      </c>
      <c r="B944" s="1" t="s">
        <v>158</v>
      </c>
      <c r="C944" s="1">
        <v>2014</v>
      </c>
      <c r="D944" s="9">
        <v>3</v>
      </c>
      <c r="E944" s="9">
        <v>5</v>
      </c>
      <c r="F944" s="9">
        <v>4</v>
      </c>
      <c r="G944" s="1">
        <v>2</v>
      </c>
      <c r="H944" s="5">
        <v>1.6021000000000001</v>
      </c>
      <c r="I944" s="2">
        <f>1/1.0671</f>
        <v>0.93711929528629001</v>
      </c>
      <c r="J944" s="3">
        <v>13434</v>
      </c>
      <c r="K944">
        <v>7.1146557169930515</v>
      </c>
      <c r="L944">
        <v>3.9008212255211623</v>
      </c>
      <c r="M944">
        <v>0.2</v>
      </c>
    </row>
    <row r="945" spans="1:15" x14ac:dyDescent="0.25">
      <c r="A945" s="8" t="s">
        <v>201</v>
      </c>
      <c r="B945" s="1" t="s">
        <v>158</v>
      </c>
      <c r="C945" s="1">
        <v>2015</v>
      </c>
      <c r="D945" s="9">
        <v>3</v>
      </c>
      <c r="E945" s="9">
        <v>5</v>
      </c>
      <c r="F945" s="9">
        <v>4</v>
      </c>
      <c r="G945" s="1">
        <v>2</v>
      </c>
      <c r="H945" s="2">
        <v>0.19109999999999999</v>
      </c>
      <c r="I945" s="2">
        <v>0.9505703422053231</v>
      </c>
      <c r="J945" s="3">
        <v>13292</v>
      </c>
      <c r="K945">
        <v>7.1146557169930515</v>
      </c>
      <c r="L945">
        <v>3.9008212255211623</v>
      </c>
      <c r="M945">
        <v>0.2</v>
      </c>
    </row>
    <row r="946" spans="1:15" x14ac:dyDescent="0.25">
      <c r="A946" s="10" t="s">
        <v>201</v>
      </c>
      <c r="B946" s="9" t="s">
        <v>158</v>
      </c>
      <c r="C946" s="1">
        <v>2016</v>
      </c>
      <c r="D946" s="9">
        <v>3</v>
      </c>
      <c r="E946" s="9">
        <v>5</v>
      </c>
      <c r="F946" s="9">
        <v>4</v>
      </c>
      <c r="G946" s="1">
        <v>2</v>
      </c>
      <c r="H946" s="2">
        <v>0.23080000000000001</v>
      </c>
      <c r="I946" s="2">
        <v>0.84530853761622993</v>
      </c>
      <c r="J946" s="6">
        <v>12664</v>
      </c>
      <c r="K946" s="7">
        <v>7.1146557169930515</v>
      </c>
      <c r="L946" s="7">
        <v>3.9008212255211623</v>
      </c>
      <c r="M946">
        <v>0.2</v>
      </c>
      <c r="O946" s="7"/>
    </row>
    <row r="947" spans="1:15" x14ac:dyDescent="0.25">
      <c r="A947" s="10" t="s">
        <v>201</v>
      </c>
      <c r="B947" s="9" t="s">
        <v>158</v>
      </c>
      <c r="C947" s="1">
        <v>2017</v>
      </c>
      <c r="D947" s="9">
        <v>3</v>
      </c>
      <c r="E947" s="9">
        <v>5</v>
      </c>
      <c r="F947" s="9">
        <v>4</v>
      </c>
      <c r="G947" s="1">
        <v>2</v>
      </c>
      <c r="H947" s="5">
        <v>0.39319999999999999</v>
      </c>
      <c r="I947" s="2">
        <v>0.96871064613000102</v>
      </c>
      <c r="J947" s="3">
        <v>12847</v>
      </c>
      <c r="K947">
        <v>7.1146557169930515</v>
      </c>
      <c r="L947">
        <v>3.9008212255211623</v>
      </c>
      <c r="M947">
        <v>0.2</v>
      </c>
    </row>
    <row r="948" spans="1:15" x14ac:dyDescent="0.25">
      <c r="A948" s="8" t="s">
        <v>201</v>
      </c>
      <c r="B948" s="1" t="s">
        <v>158</v>
      </c>
      <c r="C948" s="1">
        <v>2018</v>
      </c>
      <c r="D948" s="9">
        <v>3</v>
      </c>
      <c r="E948" s="9">
        <v>5</v>
      </c>
      <c r="F948" s="9">
        <v>4</v>
      </c>
      <c r="G948" s="1">
        <v>2</v>
      </c>
      <c r="H948" s="2">
        <v>0.44550000000000001</v>
      </c>
      <c r="I948" s="2">
        <v>0.9417082587814295</v>
      </c>
      <c r="J948" s="3">
        <v>12791</v>
      </c>
      <c r="K948">
        <v>7.1146557169930515</v>
      </c>
      <c r="L948">
        <v>3.9008212255211623</v>
      </c>
      <c r="M948">
        <v>0.2</v>
      </c>
    </row>
    <row r="949" spans="1:15" x14ac:dyDescent="0.25">
      <c r="A949" s="8" t="s">
        <v>202</v>
      </c>
      <c r="B949" s="1" t="s">
        <v>158</v>
      </c>
      <c r="C949" s="1">
        <v>2014</v>
      </c>
      <c r="D949" s="9">
        <v>3</v>
      </c>
      <c r="E949" s="9">
        <v>5</v>
      </c>
      <c r="F949" s="9">
        <v>4</v>
      </c>
      <c r="G949" s="1">
        <v>2</v>
      </c>
      <c r="J949" s="3">
        <v>21542</v>
      </c>
      <c r="K949">
        <v>12.999907209798645</v>
      </c>
      <c r="L949">
        <v>10.19764312888559</v>
      </c>
      <c r="M949">
        <v>0.4</v>
      </c>
    </row>
    <row r="950" spans="1:15" x14ac:dyDescent="0.25">
      <c r="A950" s="8" t="s">
        <v>202</v>
      </c>
      <c r="B950" s="1" t="s">
        <v>158</v>
      </c>
      <c r="C950" s="1">
        <v>2015</v>
      </c>
      <c r="D950" s="9">
        <v>3</v>
      </c>
      <c r="E950" s="9">
        <v>5</v>
      </c>
      <c r="F950" s="9">
        <v>4</v>
      </c>
      <c r="G950" s="1">
        <v>2</v>
      </c>
      <c r="H950" s="2">
        <v>0.93</v>
      </c>
      <c r="I950" s="2">
        <v>1.1247328759419637</v>
      </c>
      <c r="J950" s="3">
        <v>21812</v>
      </c>
      <c r="K950">
        <v>12.999907209798645</v>
      </c>
      <c r="L950">
        <v>10.19764312888559</v>
      </c>
      <c r="M950">
        <v>0.4</v>
      </c>
    </row>
    <row r="951" spans="1:15" x14ac:dyDescent="0.25">
      <c r="A951" s="10" t="s">
        <v>202</v>
      </c>
      <c r="B951" s="9" t="s">
        <v>158</v>
      </c>
      <c r="C951" s="1">
        <v>2016</v>
      </c>
      <c r="D951" s="9">
        <v>3</v>
      </c>
      <c r="E951" s="9">
        <v>5</v>
      </c>
      <c r="F951" s="9">
        <v>4</v>
      </c>
      <c r="G951" s="1">
        <v>2</v>
      </c>
      <c r="H951" s="2">
        <v>1.24</v>
      </c>
      <c r="I951" s="2">
        <v>1.1033873993158998</v>
      </c>
      <c r="J951" s="6">
        <v>21554</v>
      </c>
      <c r="K951" s="7">
        <v>12.999907209798645</v>
      </c>
      <c r="L951" s="7">
        <v>10.19764312888559</v>
      </c>
      <c r="M951">
        <v>0.4</v>
      </c>
      <c r="O951" s="7"/>
    </row>
    <row r="952" spans="1:15" x14ac:dyDescent="0.25">
      <c r="A952" s="10" t="s">
        <v>202</v>
      </c>
      <c r="B952" s="9" t="s">
        <v>158</v>
      </c>
      <c r="C952" s="1">
        <v>2017</v>
      </c>
      <c r="D952" s="9">
        <v>3</v>
      </c>
      <c r="E952" s="9">
        <v>5</v>
      </c>
      <c r="F952" s="9">
        <v>4</v>
      </c>
      <c r="G952" s="1">
        <v>2</v>
      </c>
      <c r="H952" s="5">
        <v>2.91</v>
      </c>
      <c r="I952" s="2">
        <v>1.2653422750854106</v>
      </c>
      <c r="J952" s="3">
        <v>22203</v>
      </c>
      <c r="K952">
        <v>12.999907209798645</v>
      </c>
      <c r="L952">
        <v>10.19764312888559</v>
      </c>
      <c r="M952">
        <v>0.4</v>
      </c>
    </row>
    <row r="953" spans="1:15" x14ac:dyDescent="0.25">
      <c r="A953" s="8" t="s">
        <v>202</v>
      </c>
      <c r="B953" s="1" t="s">
        <v>158</v>
      </c>
      <c r="C953" s="1">
        <v>2018</v>
      </c>
      <c r="D953" s="9">
        <v>3</v>
      </c>
      <c r="E953" s="9">
        <v>5</v>
      </c>
      <c r="F953" s="9">
        <v>4</v>
      </c>
      <c r="G953" s="1">
        <v>2</v>
      </c>
      <c r="H953" s="2">
        <v>2.42</v>
      </c>
      <c r="I953" s="2">
        <v>1.1491611123879568</v>
      </c>
      <c r="J953" s="3">
        <v>22517</v>
      </c>
      <c r="K953">
        <v>12.999907209798645</v>
      </c>
      <c r="L953">
        <v>10.19764312888559</v>
      </c>
      <c r="M953">
        <v>0.4</v>
      </c>
    </row>
    <row r="954" spans="1:15" x14ac:dyDescent="0.25">
      <c r="A954" s="8" t="s">
        <v>203</v>
      </c>
      <c r="B954" s="1" t="s">
        <v>158</v>
      </c>
      <c r="C954" s="1">
        <v>2014</v>
      </c>
      <c r="D954" s="1">
        <v>5</v>
      </c>
      <c r="E954" s="1">
        <v>5</v>
      </c>
      <c r="F954" s="1">
        <v>5</v>
      </c>
      <c r="G954" s="1">
        <v>0</v>
      </c>
      <c r="H954" s="5">
        <v>0.74729999999999996</v>
      </c>
      <c r="I954" s="2">
        <f>1/1.0932</f>
        <v>0.91474570069520678</v>
      </c>
      <c r="J954" s="3">
        <v>943</v>
      </c>
      <c r="K954">
        <v>3.6432160804020097</v>
      </c>
      <c r="L954">
        <v>1.6331658291457287</v>
      </c>
      <c r="M954">
        <v>0</v>
      </c>
    </row>
    <row r="955" spans="1:15" x14ac:dyDescent="0.25">
      <c r="A955" s="8" t="s">
        <v>203</v>
      </c>
      <c r="B955" s="1" t="s">
        <v>158</v>
      </c>
      <c r="C955" s="1">
        <v>2015</v>
      </c>
      <c r="D955" s="1">
        <v>5</v>
      </c>
      <c r="E955" s="1">
        <v>5</v>
      </c>
      <c r="F955" s="1">
        <v>5</v>
      </c>
      <c r="G955" s="1">
        <v>0</v>
      </c>
      <c r="H955" s="2">
        <v>1.2050000000000001</v>
      </c>
      <c r="I955" s="2">
        <v>0.94215187488223107</v>
      </c>
      <c r="J955" s="3">
        <v>876</v>
      </c>
      <c r="K955">
        <v>3.6432160804020097</v>
      </c>
      <c r="L955">
        <v>1.6331658291457287</v>
      </c>
      <c r="M955">
        <v>0</v>
      </c>
    </row>
    <row r="956" spans="1:15" x14ac:dyDescent="0.25">
      <c r="A956" t="s">
        <v>203</v>
      </c>
      <c r="B956" s="1" t="s">
        <v>158</v>
      </c>
      <c r="C956" s="1">
        <v>2016</v>
      </c>
      <c r="D956" s="1">
        <v>5</v>
      </c>
      <c r="E956" s="1">
        <v>5</v>
      </c>
      <c r="F956" s="1">
        <v>5</v>
      </c>
      <c r="G956" s="1">
        <v>0</v>
      </c>
      <c r="H956" s="2">
        <v>2.6360000000000001</v>
      </c>
      <c r="I956" s="2">
        <v>0.88746893858714948</v>
      </c>
      <c r="J956" s="6">
        <v>796</v>
      </c>
      <c r="K956" s="7">
        <v>3.6432160804020097</v>
      </c>
      <c r="L956" s="7">
        <v>1.6331658291457287</v>
      </c>
      <c r="M956">
        <v>0</v>
      </c>
      <c r="O956" s="7"/>
    </row>
    <row r="957" spans="1:15" x14ac:dyDescent="0.25">
      <c r="A957" t="s">
        <v>203</v>
      </c>
      <c r="B957" s="1" t="s">
        <v>158</v>
      </c>
      <c r="C957" s="1">
        <v>2017</v>
      </c>
      <c r="D957" s="1">
        <v>5</v>
      </c>
      <c r="E957" s="1">
        <v>5</v>
      </c>
      <c r="F957" s="1">
        <v>5</v>
      </c>
      <c r="G957" s="1">
        <v>0</v>
      </c>
      <c r="H957" s="5">
        <v>3.2480000000000002</v>
      </c>
      <c r="I957" s="2">
        <v>1.2204051745179398</v>
      </c>
      <c r="J957" s="3">
        <v>810</v>
      </c>
      <c r="K957">
        <v>3.6432160804020097</v>
      </c>
      <c r="L957">
        <v>1.6331658291457287</v>
      </c>
      <c r="M957">
        <v>0</v>
      </c>
    </row>
    <row r="958" spans="1:15" x14ac:dyDescent="0.25">
      <c r="A958" s="8" t="s">
        <v>203</v>
      </c>
      <c r="B958" s="1" t="s">
        <v>158</v>
      </c>
      <c r="C958" s="1">
        <v>2018</v>
      </c>
      <c r="D958" s="1">
        <v>5</v>
      </c>
      <c r="E958" s="1">
        <v>5</v>
      </c>
      <c r="F958" s="1">
        <v>5</v>
      </c>
      <c r="G958" s="1">
        <v>0</v>
      </c>
      <c r="H958" s="2">
        <v>2.7349999999999999</v>
      </c>
      <c r="I958" s="2">
        <v>0.86850790342192119</v>
      </c>
      <c r="J958" s="3">
        <v>814</v>
      </c>
      <c r="K958">
        <v>3.6432160804020097</v>
      </c>
      <c r="L958">
        <v>1.6331658291457287</v>
      </c>
      <c r="M958">
        <v>0</v>
      </c>
    </row>
    <row r="959" spans="1:15" x14ac:dyDescent="0.25">
      <c r="A959" s="8" t="s">
        <v>204</v>
      </c>
      <c r="B959" s="1" t="s">
        <v>158</v>
      </c>
      <c r="C959" s="1">
        <v>2014</v>
      </c>
      <c r="D959" s="1">
        <v>1</v>
      </c>
      <c r="E959" s="1">
        <v>2</v>
      </c>
      <c r="F959" s="1">
        <v>1.5</v>
      </c>
      <c r="G959" s="1">
        <v>1</v>
      </c>
      <c r="H959" s="5">
        <v>0.69140000000000001</v>
      </c>
      <c r="I959" s="2">
        <f>1/0.8695</f>
        <v>1.1500862564692351</v>
      </c>
      <c r="J959" s="3">
        <v>419764</v>
      </c>
      <c r="K959">
        <v>2.9562036072596629</v>
      </c>
      <c r="L959">
        <v>6.8825254109365188</v>
      </c>
      <c r="M959">
        <v>205.6</v>
      </c>
    </row>
    <row r="960" spans="1:15" x14ac:dyDescent="0.25">
      <c r="A960" s="8" t="s">
        <v>204</v>
      </c>
      <c r="B960" s="1" t="s">
        <v>158</v>
      </c>
      <c r="C960" s="1">
        <v>2015</v>
      </c>
      <c r="D960" s="1">
        <v>1</v>
      </c>
      <c r="E960" s="1">
        <v>2</v>
      </c>
      <c r="F960" s="1">
        <v>1.5</v>
      </c>
      <c r="G960" s="1">
        <v>1</v>
      </c>
      <c r="H960" s="2">
        <v>0.65200000000000002</v>
      </c>
      <c r="I960" s="2">
        <v>1.256123602562492</v>
      </c>
      <c r="J960" s="3">
        <v>428994</v>
      </c>
      <c r="K960">
        <v>2.9562036072596629</v>
      </c>
      <c r="L960">
        <v>6.8825254109365188</v>
      </c>
      <c r="M960">
        <v>210.1</v>
      </c>
    </row>
    <row r="961" spans="1:15" x14ac:dyDescent="0.25">
      <c r="A961" t="s">
        <v>204</v>
      </c>
      <c r="B961" s="1" t="s">
        <v>158</v>
      </c>
      <c r="C961" s="1">
        <v>2016</v>
      </c>
      <c r="D961" s="1">
        <v>1</v>
      </c>
      <c r="E961" s="1">
        <v>2</v>
      </c>
      <c r="F961" s="1">
        <v>1.5</v>
      </c>
      <c r="G961" s="1">
        <v>1</v>
      </c>
      <c r="H961" s="2">
        <v>0.77900000000000003</v>
      </c>
      <c r="I961" s="2">
        <v>1.277139208173691</v>
      </c>
      <c r="J961" s="6">
        <v>425309</v>
      </c>
      <c r="K961" s="7">
        <v>2.9562036072596629</v>
      </c>
      <c r="L961" s="7">
        <v>6.8825254109365188</v>
      </c>
      <c r="M961">
        <v>215.2</v>
      </c>
      <c r="O961" s="7"/>
    </row>
    <row r="962" spans="1:15" x14ac:dyDescent="0.25">
      <c r="A962" t="s">
        <v>204</v>
      </c>
      <c r="B962" s="1" t="s">
        <v>158</v>
      </c>
      <c r="C962" s="1">
        <v>2017</v>
      </c>
      <c r="D962" s="1">
        <v>1</v>
      </c>
      <c r="E962" s="1">
        <v>2</v>
      </c>
      <c r="F962" s="1">
        <v>1.5</v>
      </c>
      <c r="G962" s="1">
        <v>1</v>
      </c>
      <c r="H962" s="5">
        <v>0.59899999999999998</v>
      </c>
      <c r="I962" s="2">
        <v>1.3509862199405567</v>
      </c>
      <c r="J962" s="3">
        <v>449213</v>
      </c>
      <c r="K962">
        <v>2.9562036072596629</v>
      </c>
      <c r="L962">
        <v>6.8825254109365188</v>
      </c>
      <c r="M962">
        <v>220</v>
      </c>
    </row>
    <row r="963" spans="1:15" x14ac:dyDescent="0.25">
      <c r="A963" s="8" t="s">
        <v>204</v>
      </c>
      <c r="B963" s="1" t="s">
        <v>158</v>
      </c>
      <c r="C963" s="1">
        <v>2018</v>
      </c>
      <c r="D963" s="1">
        <v>1</v>
      </c>
      <c r="E963" s="1">
        <v>2</v>
      </c>
      <c r="F963" s="1">
        <v>1.5</v>
      </c>
      <c r="G963" s="1">
        <v>1</v>
      </c>
      <c r="H963" s="2">
        <v>0.625</v>
      </c>
      <c r="I963" s="2">
        <v>1.3351134846461949</v>
      </c>
      <c r="J963" s="3">
        <v>459585</v>
      </c>
      <c r="K963">
        <v>2.9562036072596629</v>
      </c>
      <c r="L963">
        <v>6.8825254109365188</v>
      </c>
      <c r="M963">
        <v>225.1</v>
      </c>
    </row>
    <row r="964" spans="1:15" x14ac:dyDescent="0.25">
      <c r="A964" s="8" t="s">
        <v>205</v>
      </c>
      <c r="B964" s="1" t="s">
        <v>158</v>
      </c>
      <c r="C964" s="1">
        <v>2014</v>
      </c>
      <c r="D964" s="1">
        <v>5</v>
      </c>
      <c r="E964" s="1">
        <v>5</v>
      </c>
      <c r="F964" s="1">
        <v>5</v>
      </c>
      <c r="G964" s="1">
        <v>0</v>
      </c>
      <c r="H964" s="5">
        <v>4.9700000000000001E-2</v>
      </c>
      <c r="I964" s="2">
        <f>1/1.5696</f>
        <v>0.63710499490315997</v>
      </c>
      <c r="J964" s="3">
        <v>1202</v>
      </c>
      <c r="K964">
        <v>86.00174978127734</v>
      </c>
      <c r="L964">
        <v>11.37357830271216</v>
      </c>
      <c r="M964">
        <v>1</v>
      </c>
    </row>
    <row r="965" spans="1:15" x14ac:dyDescent="0.25">
      <c r="A965" s="8" t="s">
        <v>205</v>
      </c>
      <c r="B965" s="1" t="s">
        <v>158</v>
      </c>
      <c r="C965" s="1">
        <v>2015</v>
      </c>
      <c r="D965" s="1">
        <v>5</v>
      </c>
      <c r="E965" s="1">
        <v>5</v>
      </c>
      <c r="F965" s="1">
        <v>5</v>
      </c>
      <c r="G965" s="1">
        <v>0</v>
      </c>
      <c r="H965" s="5">
        <v>1.0225</v>
      </c>
      <c r="I965" s="5">
        <v>0.97799999999999998</v>
      </c>
      <c r="J965" s="3">
        <v>1202</v>
      </c>
      <c r="K965">
        <v>86.00174978127734</v>
      </c>
      <c r="L965">
        <v>11.37357830271216</v>
      </c>
      <c r="M965">
        <v>1</v>
      </c>
    </row>
    <row r="966" spans="1:15" x14ac:dyDescent="0.25">
      <c r="A966" t="s">
        <v>205</v>
      </c>
      <c r="B966" s="1" t="s">
        <v>158</v>
      </c>
      <c r="C966" s="1">
        <v>2016</v>
      </c>
      <c r="D966" s="1">
        <v>5</v>
      </c>
      <c r="E966" s="1">
        <v>5</v>
      </c>
      <c r="F966" s="1">
        <v>5</v>
      </c>
      <c r="G966" s="1">
        <v>0</v>
      </c>
      <c r="H966" s="2">
        <v>0.13</v>
      </c>
      <c r="I966" s="2">
        <v>0.73217162102796884</v>
      </c>
      <c r="J966" s="6">
        <v>1143</v>
      </c>
      <c r="K966" s="7">
        <v>86.00174978127734</v>
      </c>
      <c r="L966" s="7">
        <v>11.37357830271216</v>
      </c>
      <c r="M966">
        <v>1</v>
      </c>
      <c r="O966" s="7"/>
    </row>
    <row r="967" spans="1:15" x14ac:dyDescent="0.25">
      <c r="A967" t="s">
        <v>205</v>
      </c>
      <c r="B967" s="1" t="s">
        <v>158</v>
      </c>
      <c r="C967" s="1">
        <v>2017</v>
      </c>
      <c r="D967" s="1">
        <v>5</v>
      </c>
      <c r="E967" s="1">
        <v>5</v>
      </c>
      <c r="F967" s="1">
        <v>5</v>
      </c>
      <c r="G967" s="1">
        <v>0</v>
      </c>
      <c r="H967" s="5">
        <v>2.72</v>
      </c>
      <c r="I967" s="2">
        <v>0.86385625431928126</v>
      </c>
      <c r="J967" s="3">
        <v>1205</v>
      </c>
      <c r="K967">
        <v>86.00174978127734</v>
      </c>
      <c r="L967">
        <v>11.37357830271216</v>
      </c>
      <c r="M967">
        <v>1</v>
      </c>
    </row>
    <row r="968" spans="1:15" x14ac:dyDescent="0.25">
      <c r="A968" s="8" t="s">
        <v>205</v>
      </c>
      <c r="B968" s="1" t="s">
        <v>158</v>
      </c>
      <c r="C968" s="1">
        <v>2018</v>
      </c>
      <c r="D968" s="1">
        <v>5</v>
      </c>
      <c r="E968" s="1">
        <v>5</v>
      </c>
      <c r="F968" s="1">
        <v>5</v>
      </c>
      <c r="G968" s="1">
        <v>0</v>
      </c>
      <c r="H968" s="2">
        <v>2.95</v>
      </c>
      <c r="I968" s="2">
        <v>0.70313598649978903</v>
      </c>
      <c r="J968" s="3">
        <v>1218</v>
      </c>
      <c r="K968">
        <v>86.00174978127734</v>
      </c>
      <c r="L968">
        <v>11.37357830271216</v>
      </c>
      <c r="M968">
        <v>1</v>
      </c>
    </row>
    <row r="969" spans="1:15" x14ac:dyDescent="0.25">
      <c r="A969" s="8" t="s">
        <v>206</v>
      </c>
      <c r="B969" s="1" t="s">
        <v>158</v>
      </c>
      <c r="C969" s="1">
        <v>2014</v>
      </c>
      <c r="D969" s="1">
        <v>4</v>
      </c>
      <c r="E969" s="1">
        <v>5</v>
      </c>
      <c r="F969" s="1">
        <v>4.5</v>
      </c>
      <c r="G969" s="1">
        <v>1</v>
      </c>
      <c r="H969" s="5">
        <v>2.2526000000000002</v>
      </c>
      <c r="I969" s="2">
        <f>1/1.0395</f>
        <v>0.96200096200096197</v>
      </c>
      <c r="J969" s="3">
        <v>21261</v>
      </c>
      <c r="K969">
        <v>16.879151489179346</v>
      </c>
      <c r="L969">
        <v>8.6404542532676238</v>
      </c>
      <c r="M969">
        <v>0.5</v>
      </c>
    </row>
    <row r="970" spans="1:15" x14ac:dyDescent="0.25">
      <c r="A970" s="8" t="s">
        <v>206</v>
      </c>
      <c r="B970" s="1" t="s">
        <v>158</v>
      </c>
      <c r="C970" s="1">
        <v>2015</v>
      </c>
      <c r="D970" s="1">
        <v>4</v>
      </c>
      <c r="E970" s="1">
        <v>5</v>
      </c>
      <c r="F970" s="1">
        <v>4.5</v>
      </c>
      <c r="G970" s="1">
        <v>1</v>
      </c>
      <c r="H970" s="2">
        <v>1.5641</v>
      </c>
      <c r="I970" s="2">
        <v>1.0089799212995663</v>
      </c>
      <c r="J970" s="3">
        <v>20586</v>
      </c>
      <c r="K970">
        <v>16.879151489179346</v>
      </c>
      <c r="L970">
        <v>8.6404542532676238</v>
      </c>
      <c r="M970">
        <v>0.5</v>
      </c>
    </row>
    <row r="971" spans="1:15" x14ac:dyDescent="0.25">
      <c r="A971" t="s">
        <v>206</v>
      </c>
      <c r="B971" s="1" t="s">
        <v>158</v>
      </c>
      <c r="C971" s="1">
        <v>2016</v>
      </c>
      <c r="D971" s="1">
        <v>4</v>
      </c>
      <c r="E971" s="1">
        <v>5</v>
      </c>
      <c r="F971" s="1">
        <v>4.5</v>
      </c>
      <c r="G971" s="1">
        <v>1</v>
      </c>
      <c r="H971" s="2">
        <v>0.90590000000000004</v>
      </c>
      <c r="I971" s="2">
        <v>1.0336985734959685</v>
      </c>
      <c r="J971" s="6">
        <v>18668</v>
      </c>
      <c r="K971" s="7">
        <v>16.879151489179346</v>
      </c>
      <c r="L971" s="7">
        <v>8.6404542532676238</v>
      </c>
      <c r="M971">
        <v>0.4</v>
      </c>
      <c r="O971" s="7"/>
    </row>
    <row r="972" spans="1:15" x14ac:dyDescent="0.25">
      <c r="A972" t="s">
        <v>206</v>
      </c>
      <c r="B972" s="1" t="s">
        <v>158</v>
      </c>
      <c r="C972" s="1">
        <v>2017</v>
      </c>
      <c r="D972" s="1">
        <v>4</v>
      </c>
      <c r="E972" s="1">
        <v>5</v>
      </c>
      <c r="F972" s="1">
        <v>4.5</v>
      </c>
      <c r="G972" s="1">
        <v>1</v>
      </c>
      <c r="H972" s="5">
        <v>0.34310000000000002</v>
      </c>
      <c r="I972" s="2">
        <v>1.1465260261407935</v>
      </c>
      <c r="J972" s="3">
        <v>19187</v>
      </c>
      <c r="K972">
        <v>16.879151489179346</v>
      </c>
      <c r="L972">
        <v>8.6404542532676238</v>
      </c>
      <c r="M972">
        <v>0.4</v>
      </c>
    </row>
    <row r="973" spans="1:15" x14ac:dyDescent="0.25">
      <c r="A973" s="8" t="s">
        <v>206</v>
      </c>
      <c r="B973" s="1" t="s">
        <v>158</v>
      </c>
      <c r="C973" s="1">
        <v>2018</v>
      </c>
      <c r="D973" s="1">
        <v>4</v>
      </c>
      <c r="E973" s="1">
        <v>5</v>
      </c>
      <c r="F973" s="1">
        <v>4.5</v>
      </c>
      <c r="G973" s="1">
        <v>1</v>
      </c>
      <c r="H973" s="2">
        <v>0.8034</v>
      </c>
      <c r="I973" s="2">
        <v>1.0616838305552607</v>
      </c>
      <c r="J973" s="3">
        <v>18878</v>
      </c>
      <c r="K973">
        <v>16.879151489179346</v>
      </c>
      <c r="L973">
        <v>8.6404542532676238</v>
      </c>
      <c r="M973">
        <v>0.4</v>
      </c>
    </row>
    <row r="974" spans="1:15" x14ac:dyDescent="0.25">
      <c r="A974" s="8" t="s">
        <v>207</v>
      </c>
      <c r="B974" s="1" t="s">
        <v>158</v>
      </c>
      <c r="C974" s="1">
        <v>2014</v>
      </c>
      <c r="D974" s="1">
        <v>5</v>
      </c>
      <c r="E974" s="1">
        <v>5</v>
      </c>
      <c r="F974" s="1">
        <v>5</v>
      </c>
      <c r="G974" s="1">
        <v>0</v>
      </c>
      <c r="H974" s="5">
        <v>18.500699999999998</v>
      </c>
      <c r="I974" s="2">
        <f>1/1.0937</f>
        <v>0.91432751211483965</v>
      </c>
      <c r="J974" s="3">
        <v>4639</v>
      </c>
      <c r="K974">
        <v>12.601531677883498</v>
      </c>
      <c r="L974">
        <v>4.107681596658157</v>
      </c>
      <c r="M974">
        <v>0.1</v>
      </c>
    </row>
    <row r="975" spans="1:15" x14ac:dyDescent="0.25">
      <c r="A975" s="8" t="s">
        <v>207</v>
      </c>
      <c r="B975" s="1" t="s">
        <v>158</v>
      </c>
      <c r="C975" s="1">
        <v>2015</v>
      </c>
      <c r="D975" s="1">
        <v>5</v>
      </c>
      <c r="E975" s="1">
        <v>5</v>
      </c>
      <c r="F975" s="1">
        <v>5</v>
      </c>
      <c r="G975" s="1">
        <v>0</v>
      </c>
      <c r="H975" s="2">
        <v>0.41560000000000002</v>
      </c>
      <c r="I975" s="2">
        <v>0.85324232081911267</v>
      </c>
      <c r="J975" s="3">
        <v>4527</v>
      </c>
      <c r="K975">
        <v>12.601531677883498</v>
      </c>
      <c r="L975">
        <v>4.107681596658157</v>
      </c>
      <c r="M975">
        <v>0.1</v>
      </c>
    </row>
    <row r="976" spans="1:15" x14ac:dyDescent="0.25">
      <c r="A976" t="s">
        <v>207</v>
      </c>
      <c r="B976" s="1" t="s">
        <v>158</v>
      </c>
      <c r="C976" s="1">
        <v>2016</v>
      </c>
      <c r="D976" s="1">
        <v>5</v>
      </c>
      <c r="E976" s="1">
        <v>5</v>
      </c>
      <c r="F976" s="1">
        <v>5</v>
      </c>
      <c r="G976" s="1">
        <v>0</v>
      </c>
      <c r="H976" s="2">
        <v>0.44</v>
      </c>
      <c r="I976" s="2">
        <v>0.87588683542086365</v>
      </c>
      <c r="J976" s="6">
        <v>4309</v>
      </c>
      <c r="K976" s="7">
        <v>12.601531677883498</v>
      </c>
      <c r="L976" s="7">
        <v>4.107681596658157</v>
      </c>
      <c r="M976">
        <v>0.1</v>
      </c>
      <c r="O976" s="7"/>
    </row>
    <row r="977" spans="1:15" x14ac:dyDescent="0.25">
      <c r="A977" t="s">
        <v>207</v>
      </c>
      <c r="B977" s="1" t="s">
        <v>158</v>
      </c>
      <c r="C977" s="1">
        <v>2017</v>
      </c>
      <c r="D977" s="1">
        <v>5</v>
      </c>
      <c r="E977" s="1">
        <v>5</v>
      </c>
      <c r="F977" s="1">
        <v>5</v>
      </c>
      <c r="G977" s="1">
        <v>0</v>
      </c>
      <c r="H977" s="5">
        <v>1.51</v>
      </c>
      <c r="I977" s="2">
        <v>1.0841283607979184</v>
      </c>
      <c r="J977" s="3">
        <v>4305</v>
      </c>
      <c r="K977">
        <v>12.601531677883498</v>
      </c>
      <c r="L977">
        <v>4.107681596658157</v>
      </c>
      <c r="M977">
        <v>0.1</v>
      </c>
    </row>
    <row r="978" spans="1:15" x14ac:dyDescent="0.25">
      <c r="A978" s="8" t="s">
        <v>207</v>
      </c>
      <c r="B978" s="1" t="s">
        <v>158</v>
      </c>
      <c r="C978" s="1">
        <v>2018</v>
      </c>
      <c r="D978" s="1">
        <v>5</v>
      </c>
      <c r="E978" s="1">
        <v>5</v>
      </c>
      <c r="F978" s="1">
        <v>5</v>
      </c>
      <c r="G978" s="1">
        <v>0</v>
      </c>
      <c r="H978" s="2">
        <v>0.96889999999999998</v>
      </c>
      <c r="I978" s="2">
        <v>0.89126559714795017</v>
      </c>
      <c r="J978" s="3">
        <v>4318</v>
      </c>
      <c r="K978">
        <v>12.601531677883498</v>
      </c>
      <c r="L978">
        <v>4.107681596658157</v>
      </c>
      <c r="M978">
        <v>0.1</v>
      </c>
    </row>
    <row r="979" spans="1:15" x14ac:dyDescent="0.25">
      <c r="A979" s="8" t="s">
        <v>208</v>
      </c>
      <c r="B979" s="1" t="s">
        <v>158</v>
      </c>
      <c r="C979" s="1">
        <v>2014</v>
      </c>
      <c r="D979" s="1">
        <v>5</v>
      </c>
      <c r="E979" s="1">
        <v>5</v>
      </c>
      <c r="F979" s="1">
        <v>5</v>
      </c>
      <c r="G979" s="1">
        <v>0</v>
      </c>
      <c r="H979" s="5">
        <v>0.1163</v>
      </c>
      <c r="I979" s="2">
        <f>1/1.1482</f>
        <v>0.87092840968472385</v>
      </c>
      <c r="J979" s="3">
        <v>939</v>
      </c>
      <c r="K979">
        <v>93.9</v>
      </c>
      <c r="L979">
        <v>33.9</v>
      </c>
      <c r="M979">
        <v>0.5</v>
      </c>
    </row>
    <row r="980" spans="1:15" x14ac:dyDescent="0.25">
      <c r="A980" s="8" t="s">
        <v>208</v>
      </c>
      <c r="B980" s="1" t="s">
        <v>158</v>
      </c>
      <c r="C980" s="1">
        <v>2015</v>
      </c>
      <c r="D980" s="1">
        <v>5</v>
      </c>
      <c r="E980" s="1">
        <v>5</v>
      </c>
      <c r="F980" s="1">
        <v>5</v>
      </c>
      <c r="G980" s="1">
        <v>0</v>
      </c>
      <c r="H980" s="2">
        <v>2.15</v>
      </c>
      <c r="I980" s="2">
        <v>0.66146315650218279</v>
      </c>
      <c r="J980" s="3">
        <v>959</v>
      </c>
      <c r="K980">
        <v>93.9</v>
      </c>
      <c r="L980">
        <v>33.9</v>
      </c>
      <c r="M980">
        <v>0.5</v>
      </c>
    </row>
    <row r="981" spans="1:15" x14ac:dyDescent="0.25">
      <c r="A981" t="s">
        <v>208</v>
      </c>
      <c r="B981" s="1" t="s">
        <v>158</v>
      </c>
      <c r="C981" s="1">
        <v>2016</v>
      </c>
      <c r="D981" s="1">
        <v>5</v>
      </c>
      <c r="E981" s="1">
        <v>5</v>
      </c>
      <c r="F981" s="1">
        <v>5</v>
      </c>
      <c r="G981" s="1">
        <v>0</v>
      </c>
      <c r="H981" s="5">
        <v>0.1</v>
      </c>
      <c r="I981" s="2">
        <v>0.85962348491360785</v>
      </c>
      <c r="J981" s="3">
        <v>989</v>
      </c>
      <c r="K981" s="11">
        <v>93.9</v>
      </c>
      <c r="L981" s="11">
        <v>33.9</v>
      </c>
      <c r="M981">
        <v>0.5</v>
      </c>
      <c r="O981" s="7"/>
    </row>
    <row r="982" spans="1:15" x14ac:dyDescent="0.25">
      <c r="A982" t="s">
        <v>208</v>
      </c>
      <c r="B982" s="1" t="s">
        <v>158</v>
      </c>
      <c r="C982" s="1">
        <v>2017</v>
      </c>
      <c r="D982" s="1">
        <v>5</v>
      </c>
      <c r="E982" s="1">
        <v>5</v>
      </c>
      <c r="F982" s="1">
        <v>5</v>
      </c>
      <c r="G982" s="1">
        <v>0</v>
      </c>
      <c r="H982" s="5">
        <v>1.03</v>
      </c>
      <c r="I982" s="2">
        <v>0.90530508781459351</v>
      </c>
      <c r="J982" s="3">
        <v>1018</v>
      </c>
      <c r="K982">
        <v>93.9</v>
      </c>
      <c r="L982">
        <v>33.9</v>
      </c>
      <c r="M982">
        <v>0.5</v>
      </c>
    </row>
    <row r="983" spans="1:15" x14ac:dyDescent="0.25">
      <c r="A983" s="8" t="s">
        <v>208</v>
      </c>
      <c r="B983" s="1" t="s">
        <v>158</v>
      </c>
      <c r="C983" s="1">
        <v>2018</v>
      </c>
      <c r="D983" s="1">
        <v>5</v>
      </c>
      <c r="E983" s="1">
        <v>5</v>
      </c>
      <c r="F983" s="1">
        <v>5</v>
      </c>
      <c r="G983" s="1">
        <v>0</v>
      </c>
      <c r="H983" s="2">
        <v>0.62</v>
      </c>
      <c r="I983" s="2">
        <v>0.9126585744273068</v>
      </c>
      <c r="J983" s="3">
        <v>1048</v>
      </c>
      <c r="K983">
        <v>93.9</v>
      </c>
      <c r="L983">
        <v>33.9</v>
      </c>
      <c r="M983">
        <v>0.5</v>
      </c>
    </row>
    <row r="984" spans="1:15" x14ac:dyDescent="0.25">
      <c r="A984" s="8" t="s">
        <v>209</v>
      </c>
      <c r="B984" s="1" t="s">
        <v>158</v>
      </c>
      <c r="C984" s="1">
        <v>2014</v>
      </c>
      <c r="D984" s="1">
        <v>1</v>
      </c>
      <c r="E984" s="1">
        <v>2</v>
      </c>
      <c r="F984" s="1">
        <v>1.5</v>
      </c>
      <c r="G984" s="1">
        <v>1</v>
      </c>
      <c r="H984" s="5">
        <v>0.31850000000000001</v>
      </c>
      <c r="I984" s="2">
        <f>1/1.0649</f>
        <v>0.93905531035778012</v>
      </c>
      <c r="J984" s="3">
        <v>52988</v>
      </c>
      <c r="K984">
        <v>1.507277503979136</v>
      </c>
      <c r="L984">
        <v>5.0568584961742769</v>
      </c>
      <c r="M984">
        <v>60.9</v>
      </c>
    </row>
    <row r="985" spans="1:15" x14ac:dyDescent="0.25">
      <c r="A985" s="8" t="s">
        <v>209</v>
      </c>
      <c r="B985" s="1" t="s">
        <v>158</v>
      </c>
      <c r="C985" s="1">
        <v>2015</v>
      </c>
      <c r="D985" s="1">
        <v>1</v>
      </c>
      <c r="E985" s="1">
        <v>2</v>
      </c>
      <c r="F985" s="1">
        <v>1.5</v>
      </c>
      <c r="G985" s="1">
        <v>1</v>
      </c>
      <c r="H985" s="2">
        <v>0.65099999999999991</v>
      </c>
      <c r="I985" s="2">
        <v>1.0860121633362292</v>
      </c>
      <c r="J985" s="3">
        <v>53497</v>
      </c>
      <c r="K985">
        <v>1.507277503979136</v>
      </c>
      <c r="L985">
        <v>5.0568584961742769</v>
      </c>
      <c r="M985">
        <v>61.5</v>
      </c>
    </row>
    <row r="986" spans="1:15" x14ac:dyDescent="0.25">
      <c r="A986" t="s">
        <v>209</v>
      </c>
      <c r="B986" s="1" t="s">
        <v>158</v>
      </c>
      <c r="C986" s="1">
        <v>2016</v>
      </c>
      <c r="D986" s="1">
        <v>1</v>
      </c>
      <c r="E986" s="1">
        <v>2</v>
      </c>
      <c r="F986" s="1">
        <v>1.5</v>
      </c>
      <c r="G986" s="1">
        <v>1</v>
      </c>
      <c r="H986" s="2">
        <v>0.88360000000000005</v>
      </c>
      <c r="I986" s="2">
        <v>1.0527423939362039</v>
      </c>
      <c r="J986" s="6">
        <v>52147</v>
      </c>
      <c r="K986" s="7">
        <v>1.507277503979136</v>
      </c>
      <c r="L986" s="7">
        <v>5.0568584961742769</v>
      </c>
      <c r="M986">
        <v>62</v>
      </c>
      <c r="O986" s="7"/>
    </row>
    <row r="987" spans="1:15" x14ac:dyDescent="0.25">
      <c r="A987" t="s">
        <v>209</v>
      </c>
      <c r="B987" s="1" t="s">
        <v>158</v>
      </c>
      <c r="C987" s="1">
        <v>2017</v>
      </c>
      <c r="D987" s="1">
        <v>1</v>
      </c>
      <c r="E987" s="1">
        <v>2</v>
      </c>
      <c r="F987" s="1">
        <v>1.5</v>
      </c>
      <c r="G987" s="1">
        <v>1</v>
      </c>
      <c r="H987" s="5">
        <v>0.81940000000000002</v>
      </c>
      <c r="I987" s="2">
        <v>1.1008366358432409</v>
      </c>
      <c r="J987" s="3">
        <v>54642</v>
      </c>
      <c r="K987">
        <v>1.507277503979136</v>
      </c>
      <c r="L987">
        <v>5.0568584961742769</v>
      </c>
      <c r="M987">
        <v>62.8</v>
      </c>
    </row>
    <row r="988" spans="1:15" x14ac:dyDescent="0.25">
      <c r="A988" s="8" t="s">
        <v>209</v>
      </c>
      <c r="B988" s="1" t="s">
        <v>158</v>
      </c>
      <c r="C988" s="1">
        <v>2018</v>
      </c>
      <c r="D988" s="1">
        <v>1</v>
      </c>
      <c r="E988" s="1">
        <v>2</v>
      </c>
      <c r="F988" s="1">
        <v>1.5</v>
      </c>
      <c r="G988" s="1">
        <v>1</v>
      </c>
      <c r="H988" s="2">
        <v>1.3086</v>
      </c>
      <c r="I988" s="2">
        <v>1.1563367252543941</v>
      </c>
      <c r="J988" s="3">
        <v>55369</v>
      </c>
      <c r="K988">
        <v>1.507277503979136</v>
      </c>
      <c r="L988">
        <v>5.0568584961742769</v>
      </c>
      <c r="M988">
        <v>63.7</v>
      </c>
    </row>
    <row r="989" spans="1:15" x14ac:dyDescent="0.25">
      <c r="A989" s="8" t="s">
        <v>210</v>
      </c>
      <c r="B989" s="1" t="s">
        <v>158</v>
      </c>
      <c r="C989" s="1">
        <v>2014</v>
      </c>
      <c r="D989" s="1">
        <v>3</v>
      </c>
      <c r="E989" s="1">
        <v>4</v>
      </c>
      <c r="F989" s="1">
        <v>3.5</v>
      </c>
      <c r="G989" s="1">
        <v>1</v>
      </c>
      <c r="H989" s="2">
        <v>1.9406000000000001</v>
      </c>
      <c r="I989" s="2">
        <f>1/1.5803</f>
        <v>0.63279124216920835</v>
      </c>
      <c r="J989" s="3">
        <v>10547</v>
      </c>
      <c r="K989">
        <v>6.5254722381224957</v>
      </c>
      <c r="L989">
        <v>4.7128410608662472</v>
      </c>
      <c r="M989">
        <v>0.5</v>
      </c>
    </row>
    <row r="990" spans="1:15" x14ac:dyDescent="0.25">
      <c r="A990" s="8" t="s">
        <v>210</v>
      </c>
      <c r="B990" s="1" t="s">
        <v>158</v>
      </c>
      <c r="C990" s="1">
        <v>2015</v>
      </c>
      <c r="D990" s="1">
        <v>3</v>
      </c>
      <c r="E990" s="1">
        <v>4</v>
      </c>
      <c r="F990" s="1">
        <v>3.5</v>
      </c>
      <c r="G990" s="1">
        <v>1</v>
      </c>
      <c r="H990" s="2">
        <v>2.6156000000000001</v>
      </c>
      <c r="I990" s="2">
        <v>0.98648515339844134</v>
      </c>
      <c r="J990" s="3">
        <v>10607</v>
      </c>
      <c r="K990">
        <v>6.5254722381224957</v>
      </c>
      <c r="L990">
        <v>4.7128410608662472</v>
      </c>
      <c r="M990">
        <v>0.5</v>
      </c>
    </row>
    <row r="991" spans="1:15" x14ac:dyDescent="0.25">
      <c r="A991" t="s">
        <v>210</v>
      </c>
      <c r="B991" s="1" t="s">
        <v>158</v>
      </c>
      <c r="C991" s="1">
        <v>2016</v>
      </c>
      <c r="D991" s="1">
        <v>3</v>
      </c>
      <c r="E991" s="1">
        <v>4</v>
      </c>
      <c r="F991" s="1">
        <v>3.5</v>
      </c>
      <c r="G991" s="1">
        <v>1</v>
      </c>
      <c r="H991" s="2">
        <v>1.7014</v>
      </c>
      <c r="I991" s="2">
        <v>0.8965393580778197</v>
      </c>
      <c r="J991" s="6">
        <v>10482</v>
      </c>
      <c r="K991" s="7">
        <v>6.5254722381224957</v>
      </c>
      <c r="L991" s="7">
        <v>4.7128410608662472</v>
      </c>
      <c r="M991">
        <v>0.5</v>
      </c>
      <c r="O991" s="7"/>
    </row>
    <row r="992" spans="1:15" x14ac:dyDescent="0.25">
      <c r="A992" t="s">
        <v>210</v>
      </c>
      <c r="B992" s="1" t="s">
        <v>158</v>
      </c>
      <c r="C992" s="1">
        <v>2017</v>
      </c>
      <c r="D992" s="1">
        <v>3</v>
      </c>
      <c r="E992" s="1">
        <v>4</v>
      </c>
      <c r="F992" s="1">
        <v>3.5</v>
      </c>
      <c r="G992" s="1">
        <v>1</v>
      </c>
      <c r="H992" s="5">
        <v>1.2681</v>
      </c>
      <c r="I992" s="2">
        <v>1.0770059235325795</v>
      </c>
      <c r="J992" s="3">
        <v>10663</v>
      </c>
      <c r="K992">
        <v>6.5254722381224957</v>
      </c>
      <c r="L992">
        <v>4.7128410608662472</v>
      </c>
      <c r="M992">
        <v>0.5</v>
      </c>
    </row>
    <row r="993" spans="1:15" x14ac:dyDescent="0.25">
      <c r="A993" s="8" t="s">
        <v>210</v>
      </c>
      <c r="B993" s="1" t="s">
        <v>158</v>
      </c>
      <c r="C993" s="1">
        <v>2018</v>
      </c>
      <c r="D993" s="1">
        <v>3</v>
      </c>
      <c r="E993" s="1">
        <v>4</v>
      </c>
      <c r="F993" s="1">
        <v>3.5</v>
      </c>
      <c r="G993" s="1">
        <v>1</v>
      </c>
      <c r="H993" s="2">
        <v>0.74780000000000002</v>
      </c>
      <c r="I993" s="2">
        <v>0.85984522785898532</v>
      </c>
      <c r="J993" s="3">
        <v>10628</v>
      </c>
      <c r="K993">
        <v>6.5254722381224957</v>
      </c>
      <c r="L993">
        <v>4.7128410608662472</v>
      </c>
      <c r="M993">
        <v>0.5</v>
      </c>
    </row>
    <row r="994" spans="1:15" x14ac:dyDescent="0.25">
      <c r="A994" s="8" t="s">
        <v>211</v>
      </c>
      <c r="B994" s="1" t="s">
        <v>158</v>
      </c>
      <c r="C994" s="1">
        <v>2014</v>
      </c>
      <c r="D994" s="1">
        <v>5</v>
      </c>
      <c r="E994" s="1">
        <v>5</v>
      </c>
      <c r="F994" s="1">
        <v>5</v>
      </c>
      <c r="G994" s="1">
        <v>0</v>
      </c>
      <c r="H994" s="2">
        <f>(1090872+2175552+5989233)/6667788</f>
        <v>1.3881150690453865</v>
      </c>
      <c r="I994" s="2">
        <f>25239717/33655539</f>
        <v>0.74994243889542223</v>
      </c>
      <c r="J994" s="3">
        <v>2741</v>
      </c>
      <c r="K994">
        <v>87.3</v>
      </c>
      <c r="L994">
        <v>80</v>
      </c>
      <c r="M994">
        <v>2.6</v>
      </c>
    </row>
    <row r="995" spans="1:15" x14ac:dyDescent="0.25">
      <c r="A995" s="8" t="s">
        <v>211</v>
      </c>
      <c r="B995" s="1" t="s">
        <v>158</v>
      </c>
      <c r="C995" s="1">
        <v>2015</v>
      </c>
      <c r="D995" s="1">
        <v>5</v>
      </c>
      <c r="E995" s="1">
        <v>5</v>
      </c>
      <c r="F995" s="1">
        <v>5</v>
      </c>
      <c r="G995" s="1">
        <v>0</v>
      </c>
      <c r="H995" s="5">
        <v>0.16</v>
      </c>
      <c r="I995" s="2">
        <f>32765204/41086118</f>
        <v>0.79747626680135608</v>
      </c>
      <c r="J995" s="3">
        <v>2836</v>
      </c>
      <c r="K995">
        <v>87.3</v>
      </c>
      <c r="L995">
        <v>80</v>
      </c>
      <c r="M995">
        <v>2.7</v>
      </c>
    </row>
    <row r="996" spans="1:15" x14ac:dyDescent="0.25">
      <c r="A996" t="s">
        <v>211</v>
      </c>
      <c r="B996" s="1" t="s">
        <v>158</v>
      </c>
      <c r="C996" s="1">
        <v>2016</v>
      </c>
      <c r="D996" s="1">
        <v>5</v>
      </c>
      <c r="E996" s="1">
        <v>5</v>
      </c>
      <c r="F996" s="1">
        <v>5</v>
      </c>
      <c r="G996" s="1">
        <v>0</v>
      </c>
      <c r="H996" s="5">
        <v>1.0960000000000001</v>
      </c>
      <c r="I996" s="2">
        <f>31858760/33013737</f>
        <v>0.96501526016276196</v>
      </c>
      <c r="J996" s="3">
        <v>2945</v>
      </c>
      <c r="K996" s="11">
        <v>87.3</v>
      </c>
      <c r="L996" s="11">
        <v>80</v>
      </c>
      <c r="M996">
        <v>2.8</v>
      </c>
      <c r="O996" s="7"/>
    </row>
    <row r="997" spans="1:15" x14ac:dyDescent="0.25">
      <c r="A997" t="s">
        <v>211</v>
      </c>
      <c r="B997" s="1" t="s">
        <v>158</v>
      </c>
      <c r="C997" s="1">
        <v>2017</v>
      </c>
      <c r="D997" s="1">
        <v>5</v>
      </c>
      <c r="E997" s="1">
        <v>5</v>
      </c>
      <c r="F997" s="1">
        <v>5</v>
      </c>
      <c r="G997" s="1">
        <v>0</v>
      </c>
      <c r="H997" s="5">
        <v>1.2</v>
      </c>
      <c r="I997" s="2">
        <v>0.95238095238095233</v>
      </c>
      <c r="J997" s="3">
        <v>3001</v>
      </c>
      <c r="K997">
        <v>87.3</v>
      </c>
      <c r="L997">
        <v>80</v>
      </c>
      <c r="M997">
        <v>2.9</v>
      </c>
    </row>
    <row r="998" spans="1:15" x14ac:dyDescent="0.25">
      <c r="A998" s="8" t="s">
        <v>211</v>
      </c>
      <c r="B998" s="1" t="s">
        <v>158</v>
      </c>
      <c r="C998" s="1">
        <v>2018</v>
      </c>
      <c r="D998" s="1">
        <v>5</v>
      </c>
      <c r="E998" s="1">
        <v>5</v>
      </c>
      <c r="F998" s="1">
        <v>5</v>
      </c>
      <c r="G998" s="1">
        <v>0</v>
      </c>
      <c r="H998" s="2">
        <v>0.47</v>
      </c>
      <c r="I998" s="2">
        <v>0.87183958151700081</v>
      </c>
      <c r="J998" s="3">
        <v>3069</v>
      </c>
      <c r="K998">
        <v>87.3</v>
      </c>
      <c r="L998">
        <v>80</v>
      </c>
      <c r="M998">
        <v>2.9</v>
      </c>
    </row>
    <row r="999" spans="1:15" x14ac:dyDescent="0.25">
      <c r="A999" s="8" t="s">
        <v>212</v>
      </c>
      <c r="B999" s="1" t="s">
        <v>158</v>
      </c>
      <c r="C999" s="1">
        <v>2014</v>
      </c>
      <c r="D999" s="1">
        <v>4</v>
      </c>
      <c r="E999" s="1">
        <v>4</v>
      </c>
      <c r="F999" s="1">
        <v>4</v>
      </c>
      <c r="G999" s="1">
        <v>0</v>
      </c>
      <c r="H999" s="5">
        <v>3.9251</v>
      </c>
      <c r="I999" s="2">
        <f>1/0.9761</f>
        <v>1.0244851961889152</v>
      </c>
      <c r="J999" s="3">
        <v>2527</v>
      </c>
      <c r="K999">
        <v>94</v>
      </c>
      <c r="L999">
        <v>5.8</v>
      </c>
      <c r="M999">
        <v>35.1</v>
      </c>
    </row>
    <row r="1000" spans="1:15" x14ac:dyDescent="0.25">
      <c r="A1000" s="8" t="s">
        <v>212</v>
      </c>
      <c r="B1000" s="1" t="s">
        <v>158</v>
      </c>
      <c r="C1000" s="1">
        <v>2015</v>
      </c>
      <c r="D1000" s="1">
        <v>4</v>
      </c>
      <c r="E1000" s="1">
        <v>4</v>
      </c>
      <c r="F1000" s="1">
        <v>4</v>
      </c>
      <c r="G1000" s="1">
        <v>0</v>
      </c>
      <c r="H1000" s="2">
        <v>0.74</v>
      </c>
      <c r="I1000" s="2">
        <v>0.96599690880989186</v>
      </c>
      <c r="J1000" s="3">
        <v>2550</v>
      </c>
      <c r="K1000">
        <v>94</v>
      </c>
      <c r="L1000">
        <v>5.8</v>
      </c>
      <c r="M1000">
        <v>35.4</v>
      </c>
    </row>
    <row r="1001" spans="1:15" x14ac:dyDescent="0.25">
      <c r="A1001" t="s">
        <v>212</v>
      </c>
      <c r="B1001" s="1" t="s">
        <v>158</v>
      </c>
      <c r="C1001" s="1">
        <v>2016</v>
      </c>
      <c r="D1001" s="1">
        <v>4</v>
      </c>
      <c r="E1001" s="1">
        <v>4</v>
      </c>
      <c r="F1001" s="1">
        <v>4</v>
      </c>
      <c r="G1001" s="1">
        <v>0</v>
      </c>
      <c r="H1001" s="5">
        <v>3.47</v>
      </c>
      <c r="I1001" s="2">
        <v>1.1025358324145533</v>
      </c>
      <c r="J1001" s="3">
        <v>2581</v>
      </c>
      <c r="K1001" s="11">
        <v>94</v>
      </c>
      <c r="L1001" s="11">
        <v>5.8</v>
      </c>
      <c r="M1001">
        <v>35.9</v>
      </c>
      <c r="O1001" s="7"/>
    </row>
    <row r="1002" spans="1:15" x14ac:dyDescent="0.25">
      <c r="A1002" t="s">
        <v>212</v>
      </c>
      <c r="B1002" s="1" t="s">
        <v>158</v>
      </c>
      <c r="C1002" s="1">
        <v>2017</v>
      </c>
      <c r="D1002" s="1">
        <v>4</v>
      </c>
      <c r="E1002" s="1">
        <v>4</v>
      </c>
      <c r="F1002" s="1">
        <v>4</v>
      </c>
      <c r="G1002" s="1">
        <v>0</v>
      </c>
      <c r="H1002" s="5">
        <v>1.1000000000000001</v>
      </c>
      <c r="I1002" s="2">
        <v>0.69328896283971153</v>
      </c>
      <c r="J1002" s="3">
        <v>2613</v>
      </c>
      <c r="K1002">
        <v>94</v>
      </c>
      <c r="L1002">
        <v>5.8</v>
      </c>
      <c r="M1002">
        <v>36.299999999999997</v>
      </c>
    </row>
    <row r="1003" spans="1:15" x14ac:dyDescent="0.25">
      <c r="A1003" s="8" t="s">
        <v>212</v>
      </c>
      <c r="B1003" s="1" t="s">
        <v>158</v>
      </c>
      <c r="C1003" s="1">
        <v>2018</v>
      </c>
      <c r="D1003" s="1">
        <v>4</v>
      </c>
      <c r="E1003" s="1">
        <v>4</v>
      </c>
      <c r="F1003" s="1">
        <v>4</v>
      </c>
      <c r="G1003" s="1">
        <v>0</v>
      </c>
      <c r="H1003" s="2">
        <v>1.91</v>
      </c>
      <c r="I1003" s="2">
        <v>1.0513036164844407</v>
      </c>
      <c r="J1003" s="3">
        <v>2637</v>
      </c>
      <c r="K1003">
        <v>94</v>
      </c>
      <c r="L1003">
        <v>5.8</v>
      </c>
      <c r="M1003">
        <v>36.6</v>
      </c>
    </row>
    <row r="1004" spans="1:15" x14ac:dyDescent="0.25">
      <c r="A1004" s="8" t="s">
        <v>213</v>
      </c>
      <c r="B1004" s="1" t="s">
        <v>158</v>
      </c>
      <c r="C1004" s="1">
        <v>2014</v>
      </c>
      <c r="D1004" s="1">
        <v>5</v>
      </c>
      <c r="E1004" s="1">
        <v>5</v>
      </c>
      <c r="F1004" s="1">
        <v>5</v>
      </c>
      <c r="G1004" s="1">
        <v>0</v>
      </c>
      <c r="H1004" s="5">
        <v>7.3914999999999997</v>
      </c>
      <c r="I1004" s="2">
        <f>1/1.2139</f>
        <v>0.8237910865804432</v>
      </c>
      <c r="J1004" s="3">
        <v>1807</v>
      </c>
      <c r="K1004">
        <v>27.892813641900123</v>
      </c>
      <c r="L1004">
        <v>0.91352009744214369</v>
      </c>
      <c r="M1004">
        <v>0</v>
      </c>
    </row>
    <row r="1005" spans="1:15" x14ac:dyDescent="0.25">
      <c r="A1005" s="8" t="s">
        <v>213</v>
      </c>
      <c r="B1005" s="1" t="s">
        <v>158</v>
      </c>
      <c r="C1005" s="1">
        <v>2015</v>
      </c>
      <c r="D1005" s="1">
        <v>5</v>
      </c>
      <c r="E1005" s="1">
        <v>5</v>
      </c>
      <c r="F1005" s="1">
        <v>5</v>
      </c>
      <c r="G1005" s="1">
        <v>0</v>
      </c>
      <c r="H1005" s="2">
        <v>0.72930000000000006</v>
      </c>
      <c r="I1005" s="2">
        <v>0.861178091629349</v>
      </c>
      <c r="J1005" s="3">
        <v>1734</v>
      </c>
      <c r="K1005">
        <v>27.892813641900123</v>
      </c>
      <c r="L1005">
        <v>0.91352009744214369</v>
      </c>
      <c r="M1005">
        <v>0</v>
      </c>
    </row>
    <row r="1006" spans="1:15" x14ac:dyDescent="0.25">
      <c r="A1006" t="s">
        <v>213</v>
      </c>
      <c r="B1006" s="1" t="s">
        <v>158</v>
      </c>
      <c r="C1006" s="1">
        <v>2016</v>
      </c>
      <c r="D1006" s="1">
        <v>5</v>
      </c>
      <c r="E1006" s="1">
        <v>5</v>
      </c>
      <c r="F1006" s="1">
        <v>5</v>
      </c>
      <c r="G1006" s="1">
        <v>0</v>
      </c>
      <c r="H1006" s="2">
        <v>0.44259999999999999</v>
      </c>
      <c r="I1006" s="2">
        <v>0.77972709551656927</v>
      </c>
      <c r="J1006" s="6">
        <v>1642</v>
      </c>
      <c r="K1006" s="7">
        <v>27.892813641900123</v>
      </c>
      <c r="L1006" s="7">
        <v>0.91352009744214369</v>
      </c>
      <c r="M1006">
        <v>0</v>
      </c>
      <c r="O1006" s="7"/>
    </row>
    <row r="1007" spans="1:15" x14ac:dyDescent="0.25">
      <c r="A1007" t="s">
        <v>213</v>
      </c>
      <c r="B1007" s="1" t="s">
        <v>158</v>
      </c>
      <c r="C1007" s="1">
        <v>2017</v>
      </c>
      <c r="D1007" s="1">
        <v>5</v>
      </c>
      <c r="E1007" s="1">
        <v>5</v>
      </c>
      <c r="F1007" s="1">
        <v>5</v>
      </c>
      <c r="G1007" s="1">
        <v>0</v>
      </c>
      <c r="H1007" s="5">
        <v>0.55130000000000001</v>
      </c>
      <c r="I1007" s="2">
        <v>0.9198785760279643</v>
      </c>
      <c r="J1007" s="3">
        <v>1649</v>
      </c>
      <c r="K1007">
        <v>27.892813641900123</v>
      </c>
      <c r="L1007">
        <v>0.91352009744214369</v>
      </c>
      <c r="M1007">
        <v>0</v>
      </c>
    </row>
    <row r="1008" spans="1:15" x14ac:dyDescent="0.25">
      <c r="A1008" s="8" t="s">
        <v>213</v>
      </c>
      <c r="B1008" s="1" t="s">
        <v>158</v>
      </c>
      <c r="C1008" s="1">
        <v>2018</v>
      </c>
      <c r="D1008" s="1">
        <v>5</v>
      </c>
      <c r="E1008" s="1">
        <v>5</v>
      </c>
      <c r="F1008" s="1">
        <v>5</v>
      </c>
      <c r="G1008" s="1">
        <v>0</v>
      </c>
      <c r="H1008" s="2">
        <v>0.81610000000000005</v>
      </c>
      <c r="I1008" s="2">
        <v>0.76248570339306132</v>
      </c>
      <c r="J1008" s="3">
        <v>1586</v>
      </c>
      <c r="K1008">
        <v>27.892813641900123</v>
      </c>
      <c r="L1008">
        <v>0.91352009744214369</v>
      </c>
      <c r="M1008">
        <v>0</v>
      </c>
    </row>
    <row r="1009" spans="1:15" x14ac:dyDescent="0.25">
      <c r="A1009" s="8" t="s">
        <v>214</v>
      </c>
      <c r="B1009" s="1" t="s">
        <v>158</v>
      </c>
      <c r="C1009" s="1">
        <v>2014</v>
      </c>
      <c r="D1009" s="1">
        <v>5</v>
      </c>
      <c r="E1009" s="1">
        <v>5</v>
      </c>
      <c r="F1009" s="1">
        <v>5</v>
      </c>
      <c r="G1009" s="1">
        <v>0</v>
      </c>
      <c r="H1009" s="5">
        <v>1.0056</v>
      </c>
      <c r="I1009" s="2">
        <f>1/1.2227</f>
        <v>0.8178621084485157</v>
      </c>
      <c r="J1009" s="3">
        <v>747</v>
      </c>
      <c r="K1009">
        <v>85.2</v>
      </c>
      <c r="L1009">
        <v>60.3</v>
      </c>
      <c r="M1009">
        <v>0.2</v>
      </c>
    </row>
    <row r="1010" spans="1:15" x14ac:dyDescent="0.25">
      <c r="A1010" s="8" t="s">
        <v>214</v>
      </c>
      <c r="B1010" s="1" t="s">
        <v>158</v>
      </c>
      <c r="C1010" s="1">
        <v>2015</v>
      </c>
      <c r="D1010" s="1">
        <v>5</v>
      </c>
      <c r="E1010" s="1">
        <v>5</v>
      </c>
      <c r="F1010" s="1">
        <v>5</v>
      </c>
      <c r="G1010" s="1">
        <v>0</v>
      </c>
      <c r="H1010" s="2">
        <v>1.21</v>
      </c>
      <c r="I1010" s="2">
        <v>0.8863676653075695</v>
      </c>
      <c r="J1010" s="3">
        <v>764</v>
      </c>
      <c r="K1010">
        <v>85.2</v>
      </c>
      <c r="L1010">
        <v>60.3</v>
      </c>
      <c r="M1010">
        <v>0.2</v>
      </c>
    </row>
    <row r="1011" spans="1:15" x14ac:dyDescent="0.25">
      <c r="A1011" t="s">
        <v>214</v>
      </c>
      <c r="B1011" s="1" t="s">
        <v>158</v>
      </c>
      <c r="C1011" s="1">
        <v>2016</v>
      </c>
      <c r="D1011" s="1">
        <v>5</v>
      </c>
      <c r="E1011" s="1">
        <v>5</v>
      </c>
      <c r="F1011" s="1">
        <v>5</v>
      </c>
      <c r="G1011" s="1">
        <v>0</v>
      </c>
      <c r="H1011" s="5">
        <v>1.67</v>
      </c>
      <c r="I1011" s="2">
        <v>0.99700897308075787</v>
      </c>
      <c r="J1011" s="3">
        <v>785</v>
      </c>
      <c r="K1011" s="11">
        <v>85.2</v>
      </c>
      <c r="L1011" s="11">
        <v>60.3</v>
      </c>
      <c r="M1011">
        <v>0.2</v>
      </c>
      <c r="O1011" s="7"/>
    </row>
    <row r="1012" spans="1:15" x14ac:dyDescent="0.25">
      <c r="A1012" t="s">
        <v>214</v>
      </c>
      <c r="B1012" s="1" t="s">
        <v>158</v>
      </c>
      <c r="C1012" s="1">
        <v>2017</v>
      </c>
      <c r="D1012" s="1">
        <v>5</v>
      </c>
      <c r="E1012" s="1">
        <v>5</v>
      </c>
      <c r="F1012" s="1">
        <v>5</v>
      </c>
      <c r="G1012" s="1">
        <v>0</v>
      </c>
      <c r="H1012" s="5">
        <v>1</v>
      </c>
      <c r="I1012" s="2">
        <v>1.1190689346463742</v>
      </c>
      <c r="J1012" s="3">
        <v>819</v>
      </c>
      <c r="K1012">
        <v>85.2</v>
      </c>
      <c r="L1012">
        <v>60.3</v>
      </c>
      <c r="M1012">
        <v>0.2</v>
      </c>
    </row>
    <row r="1013" spans="1:15" x14ac:dyDescent="0.25">
      <c r="A1013" s="8" t="s">
        <v>214</v>
      </c>
      <c r="B1013" s="1" t="s">
        <v>158</v>
      </c>
      <c r="C1013" s="1">
        <v>2018</v>
      </c>
      <c r="D1013" s="1">
        <v>5</v>
      </c>
      <c r="E1013" s="1">
        <v>5</v>
      </c>
      <c r="F1013" s="1">
        <v>5</v>
      </c>
      <c r="G1013" s="1">
        <v>0</v>
      </c>
      <c r="H1013" s="2">
        <v>1.24</v>
      </c>
      <c r="I1013" s="2">
        <v>1.1950286806883366</v>
      </c>
      <c r="J1013" s="3">
        <v>833</v>
      </c>
      <c r="K1013">
        <v>85.2</v>
      </c>
      <c r="L1013">
        <v>60.3</v>
      </c>
      <c r="M1013">
        <v>0.2</v>
      </c>
    </row>
    <row r="1014" spans="1:15" x14ac:dyDescent="0.25">
      <c r="A1014" s="8" t="s">
        <v>215</v>
      </c>
      <c r="B1014" s="1" t="s">
        <v>158</v>
      </c>
      <c r="C1014" s="1">
        <v>2014</v>
      </c>
      <c r="D1014" s="1">
        <v>5</v>
      </c>
      <c r="E1014" s="1">
        <v>5</v>
      </c>
      <c r="F1014" s="1">
        <v>5</v>
      </c>
      <c r="G1014" s="1">
        <v>0</v>
      </c>
      <c r="H1014" s="5">
        <v>1.6172</v>
      </c>
      <c r="I1014" s="2">
        <f>1/1.0995</f>
        <v>0.90950432014552074</v>
      </c>
      <c r="J1014" s="3">
        <v>915</v>
      </c>
      <c r="K1014">
        <v>16.113161131611317</v>
      </c>
      <c r="L1014">
        <v>0.61500615006150061</v>
      </c>
      <c r="M1014">
        <v>0</v>
      </c>
    </row>
    <row r="1015" spans="1:15" x14ac:dyDescent="0.25">
      <c r="A1015" s="8" t="s">
        <v>215</v>
      </c>
      <c r="B1015" s="1" t="s">
        <v>158</v>
      </c>
      <c r="C1015" s="1">
        <v>2015</v>
      </c>
      <c r="D1015" s="1">
        <v>5</v>
      </c>
      <c r="E1015" s="1">
        <v>5</v>
      </c>
      <c r="F1015" s="1">
        <v>5</v>
      </c>
      <c r="G1015" s="1">
        <v>0</v>
      </c>
      <c r="H1015" s="2">
        <v>1.51</v>
      </c>
      <c r="I1015" s="2">
        <v>1.348435814455232</v>
      </c>
      <c r="J1015" s="3">
        <v>868</v>
      </c>
      <c r="K1015">
        <v>16.113161131611317</v>
      </c>
      <c r="L1015">
        <v>0.61500615006150061</v>
      </c>
      <c r="M1015">
        <v>0</v>
      </c>
    </row>
    <row r="1016" spans="1:15" x14ac:dyDescent="0.25">
      <c r="A1016" t="s">
        <v>215</v>
      </c>
      <c r="B1016" s="1" t="s">
        <v>158</v>
      </c>
      <c r="C1016" s="1">
        <v>2016</v>
      </c>
      <c r="D1016" s="1">
        <v>5</v>
      </c>
      <c r="E1016" s="1">
        <v>5</v>
      </c>
      <c r="F1016" s="1">
        <v>5</v>
      </c>
      <c r="G1016" s="1">
        <v>0</v>
      </c>
      <c r="H1016" s="2">
        <v>1.81</v>
      </c>
      <c r="I1016" s="2">
        <v>0.98892405063291133</v>
      </c>
      <c r="J1016" s="6">
        <v>813</v>
      </c>
      <c r="K1016" s="7">
        <v>16.113161131611317</v>
      </c>
      <c r="L1016" s="7">
        <v>0.61500615006150061</v>
      </c>
      <c r="M1016">
        <v>0</v>
      </c>
      <c r="O1016" s="7"/>
    </row>
    <row r="1017" spans="1:15" x14ac:dyDescent="0.25">
      <c r="A1017" t="s">
        <v>215</v>
      </c>
      <c r="B1017" s="1" t="s">
        <v>158</v>
      </c>
      <c r="C1017" s="1">
        <v>2017</v>
      </c>
      <c r="D1017" s="1">
        <v>5</v>
      </c>
      <c r="E1017" s="1">
        <v>5</v>
      </c>
      <c r="F1017" s="1">
        <v>5</v>
      </c>
      <c r="G1017" s="1">
        <v>0</v>
      </c>
      <c r="H1017" s="5">
        <v>0.71</v>
      </c>
      <c r="I1017" s="2">
        <v>1.1544677903486493</v>
      </c>
      <c r="J1017" s="3">
        <v>819</v>
      </c>
      <c r="K1017">
        <v>16.113161131611317</v>
      </c>
      <c r="L1017">
        <v>0.61500615006150061</v>
      </c>
      <c r="M1017">
        <v>0</v>
      </c>
    </row>
    <row r="1018" spans="1:15" x14ac:dyDescent="0.25">
      <c r="A1018" s="8" t="s">
        <v>215</v>
      </c>
      <c r="B1018" s="1" t="s">
        <v>158</v>
      </c>
      <c r="C1018" s="1">
        <v>2018</v>
      </c>
      <c r="D1018" s="1">
        <v>5</v>
      </c>
      <c r="E1018" s="1">
        <v>5</v>
      </c>
      <c r="F1018" s="1">
        <v>5</v>
      </c>
      <c r="G1018" s="1">
        <v>0</v>
      </c>
      <c r="H1018" s="2">
        <v>0.36</v>
      </c>
      <c r="I1018" s="2">
        <v>0.91928663357234774</v>
      </c>
      <c r="J1018" s="3">
        <v>790</v>
      </c>
      <c r="K1018">
        <v>16.113161131611317</v>
      </c>
      <c r="L1018">
        <v>0.61500615006150061</v>
      </c>
      <c r="M1018">
        <v>0</v>
      </c>
    </row>
    <row r="1019" spans="1:15" x14ac:dyDescent="0.25">
      <c r="A1019" s="8" t="s">
        <v>216</v>
      </c>
      <c r="B1019" s="1" t="s">
        <v>158</v>
      </c>
      <c r="C1019" s="1">
        <v>2014</v>
      </c>
      <c r="D1019" s="9">
        <v>1</v>
      </c>
      <c r="E1019" s="9">
        <v>4</v>
      </c>
      <c r="F1019" s="9">
        <v>2.5</v>
      </c>
      <c r="G1019" s="1">
        <v>3</v>
      </c>
      <c r="H1019" s="5">
        <v>0.45650000000000002</v>
      </c>
      <c r="I1019" s="2">
        <f>1/0.9363</f>
        <v>1.0680337498664958</v>
      </c>
      <c r="J1019" s="3">
        <v>148833</v>
      </c>
      <c r="K1019">
        <v>2.3304378583915488</v>
      </c>
      <c r="L1019">
        <v>6.6423600955030579</v>
      </c>
      <c r="M1019">
        <v>277.10000000000002</v>
      </c>
    </row>
    <row r="1020" spans="1:15" x14ac:dyDescent="0.25">
      <c r="A1020" s="8" t="s">
        <v>216</v>
      </c>
      <c r="B1020" s="1" t="s">
        <v>158</v>
      </c>
      <c r="C1020" s="1">
        <v>2015</v>
      </c>
      <c r="D1020" s="9">
        <v>1</v>
      </c>
      <c r="E1020" s="9">
        <v>4</v>
      </c>
      <c r="F1020" s="9">
        <v>2.5</v>
      </c>
      <c r="G1020" s="1">
        <v>3</v>
      </c>
      <c r="H1020" s="2">
        <v>0.3644</v>
      </c>
      <c r="I1020" s="2">
        <v>1.0267994660642776</v>
      </c>
      <c r="J1020" s="3">
        <v>150107</v>
      </c>
      <c r="K1020">
        <v>2.3304378583915488</v>
      </c>
      <c r="L1020">
        <v>6.6423600955030579</v>
      </c>
      <c r="M1020">
        <v>279.39999999999998</v>
      </c>
    </row>
    <row r="1021" spans="1:15" x14ac:dyDescent="0.25">
      <c r="A1021" s="10" t="s">
        <v>216</v>
      </c>
      <c r="B1021" s="9" t="s">
        <v>158</v>
      </c>
      <c r="C1021" s="1">
        <v>2016</v>
      </c>
      <c r="D1021" s="9">
        <v>1</v>
      </c>
      <c r="E1021" s="9">
        <v>4</v>
      </c>
      <c r="F1021" s="9">
        <v>2.5</v>
      </c>
      <c r="G1021" s="1">
        <v>3</v>
      </c>
      <c r="H1021" s="2">
        <v>0.35870000000000002</v>
      </c>
      <c r="I1021" s="2">
        <v>1.000100010001</v>
      </c>
      <c r="J1021" s="6">
        <v>147011</v>
      </c>
      <c r="K1021" s="7">
        <v>2.3304378583915488</v>
      </c>
      <c r="L1021" s="7">
        <v>6.6423600955030579</v>
      </c>
      <c r="M1021">
        <v>283.39999999999998</v>
      </c>
      <c r="O1021" s="7"/>
    </row>
    <row r="1022" spans="1:15" x14ac:dyDescent="0.25">
      <c r="A1022" s="10" t="s">
        <v>216</v>
      </c>
      <c r="B1022" s="9" t="s">
        <v>158</v>
      </c>
      <c r="C1022" s="1">
        <v>2017</v>
      </c>
      <c r="D1022" s="9">
        <v>1</v>
      </c>
      <c r="E1022" s="9">
        <v>4</v>
      </c>
      <c r="F1022" s="9">
        <v>2.5</v>
      </c>
      <c r="G1022" s="1">
        <v>3</v>
      </c>
      <c r="H1022" s="5">
        <v>0.53220000000000001</v>
      </c>
      <c r="I1022" s="2">
        <v>0.95923261390887293</v>
      </c>
      <c r="J1022" s="3">
        <v>154590</v>
      </c>
      <c r="K1022">
        <v>2.3304378583915488</v>
      </c>
      <c r="L1022">
        <v>6.6423600955030579</v>
      </c>
      <c r="M1022">
        <v>287.8</v>
      </c>
    </row>
    <row r="1023" spans="1:15" x14ac:dyDescent="0.25">
      <c r="A1023" s="8" t="s">
        <v>216</v>
      </c>
      <c r="B1023" s="1" t="s">
        <v>158</v>
      </c>
      <c r="C1023" s="1">
        <v>2018</v>
      </c>
      <c r="D1023" s="9">
        <v>1</v>
      </c>
      <c r="E1023" s="9">
        <v>4</v>
      </c>
      <c r="F1023" s="9">
        <v>2.5</v>
      </c>
      <c r="G1023" s="1">
        <v>3</v>
      </c>
      <c r="H1023" s="2">
        <v>0.53839999999999999</v>
      </c>
      <c r="I1023" s="2">
        <v>0.94286253064303227</v>
      </c>
      <c r="J1023" s="3">
        <v>156863</v>
      </c>
      <c r="K1023">
        <v>2.3304378583915488</v>
      </c>
      <c r="L1023">
        <v>6.6423600955030579</v>
      </c>
      <c r="M1023">
        <v>292</v>
      </c>
    </row>
    <row r="1024" spans="1:15" x14ac:dyDescent="0.25">
      <c r="A1024" s="8" t="s">
        <v>217</v>
      </c>
      <c r="B1024" s="1" t="s">
        <v>158</v>
      </c>
      <c r="C1024" s="1">
        <v>2014</v>
      </c>
      <c r="D1024" s="1">
        <v>5</v>
      </c>
      <c r="E1024" s="1">
        <v>5</v>
      </c>
      <c r="F1024" s="1">
        <v>5</v>
      </c>
      <c r="G1024" s="1">
        <v>0</v>
      </c>
      <c r="J1024" s="3">
        <v>838</v>
      </c>
      <c r="K1024">
        <v>6.7344345616264292</v>
      </c>
      <c r="L1024">
        <v>1.2706480304955527</v>
      </c>
      <c r="M1024">
        <v>0</v>
      </c>
    </row>
    <row r="1025" spans="1:15" x14ac:dyDescent="0.25">
      <c r="A1025" s="8" t="s">
        <v>217</v>
      </c>
      <c r="B1025" s="1" t="s">
        <v>158</v>
      </c>
      <c r="C1025" s="1">
        <v>2015</v>
      </c>
      <c r="D1025" s="1">
        <v>5</v>
      </c>
      <c r="E1025" s="1">
        <v>5</v>
      </c>
      <c r="F1025" s="1">
        <v>5</v>
      </c>
      <c r="G1025" s="1">
        <v>0</v>
      </c>
      <c r="H1025" s="2">
        <v>1.62</v>
      </c>
      <c r="I1025" s="2">
        <v>0.75711689884918232</v>
      </c>
      <c r="J1025" s="3">
        <v>820</v>
      </c>
      <c r="K1025">
        <v>6.7344345616264292</v>
      </c>
      <c r="L1025">
        <v>1.2706480304955527</v>
      </c>
      <c r="M1025">
        <v>0</v>
      </c>
    </row>
    <row r="1026" spans="1:15" x14ac:dyDescent="0.25">
      <c r="A1026" t="s">
        <v>217</v>
      </c>
      <c r="B1026" s="1" t="s">
        <v>158</v>
      </c>
      <c r="C1026" s="1">
        <v>2016</v>
      </c>
      <c r="D1026" s="1">
        <v>5</v>
      </c>
      <c r="E1026" s="1">
        <v>5</v>
      </c>
      <c r="F1026" s="1">
        <v>5</v>
      </c>
      <c r="G1026" s="1">
        <v>0</v>
      </c>
      <c r="H1026" s="2">
        <v>1.01</v>
      </c>
      <c r="I1026" s="2">
        <v>0.75312547070341929</v>
      </c>
      <c r="J1026" s="6">
        <v>787</v>
      </c>
      <c r="K1026" s="7">
        <v>6.7344345616264292</v>
      </c>
      <c r="L1026" s="7">
        <v>1.2706480304955527</v>
      </c>
      <c r="M1026">
        <v>0</v>
      </c>
      <c r="O1026" s="7"/>
    </row>
    <row r="1027" spans="1:15" x14ac:dyDescent="0.25">
      <c r="A1027" t="s">
        <v>217</v>
      </c>
      <c r="B1027" s="1" t="s">
        <v>158</v>
      </c>
      <c r="C1027" s="1">
        <v>2017</v>
      </c>
      <c r="D1027" s="1">
        <v>5</v>
      </c>
      <c r="E1027" s="1">
        <v>5</v>
      </c>
      <c r="F1027" s="1">
        <v>5</v>
      </c>
      <c r="G1027" s="1">
        <v>0</v>
      </c>
      <c r="H1027" s="5">
        <v>1.9493</v>
      </c>
      <c r="I1027" s="2">
        <v>0.90801779714882414</v>
      </c>
      <c r="J1027" s="3">
        <v>802</v>
      </c>
      <c r="K1027">
        <v>6.7344345616264292</v>
      </c>
      <c r="L1027">
        <v>1.2706480304955527</v>
      </c>
      <c r="M1027">
        <v>0</v>
      </c>
    </row>
    <row r="1028" spans="1:15" x14ac:dyDescent="0.25">
      <c r="A1028" s="8" t="s">
        <v>217</v>
      </c>
      <c r="B1028" s="1" t="s">
        <v>158</v>
      </c>
      <c r="C1028" s="1">
        <v>2018</v>
      </c>
      <c r="D1028" s="1">
        <v>5</v>
      </c>
      <c r="E1028" s="1">
        <v>5</v>
      </c>
      <c r="F1028" s="1">
        <v>5</v>
      </c>
      <c r="G1028" s="1">
        <v>0</v>
      </c>
      <c r="H1028" s="2">
        <v>0.7</v>
      </c>
      <c r="I1028" s="2">
        <v>0.58275058275058278</v>
      </c>
      <c r="J1028" s="3">
        <v>806</v>
      </c>
      <c r="K1028">
        <v>6.7344345616264292</v>
      </c>
      <c r="L1028">
        <v>1.2706480304955527</v>
      </c>
      <c r="M1028">
        <v>0</v>
      </c>
    </row>
    <row r="1029" spans="1:15" x14ac:dyDescent="0.25">
      <c r="A1029" s="8" t="s">
        <v>218</v>
      </c>
      <c r="B1029" s="1" t="s">
        <v>158</v>
      </c>
      <c r="C1029" s="1">
        <v>2014</v>
      </c>
      <c r="D1029" s="1">
        <v>2</v>
      </c>
      <c r="E1029" s="1">
        <v>3</v>
      </c>
      <c r="F1029" s="1">
        <v>2.5</v>
      </c>
      <c r="G1029" s="1">
        <v>1</v>
      </c>
      <c r="H1029" s="5">
        <v>0.68200000000000005</v>
      </c>
      <c r="I1029" s="2">
        <f>1/0.8864</f>
        <v>1.128158844765343</v>
      </c>
      <c r="J1029" s="3">
        <v>82136</v>
      </c>
      <c r="K1029">
        <v>7.3714973785214353</v>
      </c>
      <c r="L1029">
        <v>5.8098989037453279</v>
      </c>
      <c r="M1029">
        <v>12.5</v>
      </c>
    </row>
    <row r="1030" spans="1:15" x14ac:dyDescent="0.25">
      <c r="A1030" s="8" t="s">
        <v>218</v>
      </c>
      <c r="B1030" s="1" t="s">
        <v>158</v>
      </c>
      <c r="C1030" s="1">
        <v>2015</v>
      </c>
      <c r="D1030" s="1">
        <v>2</v>
      </c>
      <c r="E1030" s="1">
        <v>3</v>
      </c>
      <c r="F1030" s="1">
        <v>2.5</v>
      </c>
      <c r="G1030" s="1">
        <v>1</v>
      </c>
      <c r="H1030" s="2">
        <v>0.76400000000000001</v>
      </c>
      <c r="I1030" s="2">
        <v>0.94759783947692611</v>
      </c>
      <c r="J1030" s="3">
        <v>82026</v>
      </c>
      <c r="K1030">
        <v>7.3714973785214353</v>
      </c>
      <c r="L1030">
        <v>5.8098989037453279</v>
      </c>
      <c r="M1030">
        <v>12.5</v>
      </c>
    </row>
    <row r="1031" spans="1:15" x14ac:dyDescent="0.25">
      <c r="A1031" t="s">
        <v>218</v>
      </c>
      <c r="B1031" s="1" t="s">
        <v>158</v>
      </c>
      <c r="C1031" s="1">
        <v>2016</v>
      </c>
      <c r="D1031" s="1">
        <v>2</v>
      </c>
      <c r="E1031" s="1">
        <v>3</v>
      </c>
      <c r="F1031" s="1">
        <v>2.5</v>
      </c>
      <c r="G1031" s="1">
        <v>1</v>
      </c>
      <c r="H1031" s="2">
        <v>0.74650000000000005</v>
      </c>
      <c r="I1031" s="2">
        <v>1.1206993163734171</v>
      </c>
      <c r="J1031" s="6">
        <v>79726</v>
      </c>
      <c r="K1031" s="7">
        <v>7.3714973785214353</v>
      </c>
      <c r="L1031" s="7">
        <v>5.8098989037453279</v>
      </c>
      <c r="M1031">
        <v>12.4</v>
      </c>
      <c r="O1031" s="7"/>
    </row>
    <row r="1032" spans="1:15" x14ac:dyDescent="0.25">
      <c r="A1032" t="s">
        <v>218</v>
      </c>
      <c r="B1032" s="1" t="s">
        <v>158</v>
      </c>
      <c r="C1032" s="1">
        <v>2017</v>
      </c>
      <c r="D1032" s="1">
        <v>2</v>
      </c>
      <c r="E1032" s="1">
        <v>3</v>
      </c>
      <c r="F1032" s="1">
        <v>2.5</v>
      </c>
      <c r="G1032" s="1">
        <v>1</v>
      </c>
      <c r="H1032" s="5">
        <v>0.86499999999999999</v>
      </c>
      <c r="I1032" s="2">
        <v>1.0456969570218551</v>
      </c>
      <c r="J1032" s="3">
        <v>81193</v>
      </c>
      <c r="K1032">
        <v>7.3714973785214353</v>
      </c>
      <c r="L1032">
        <v>5.8098989037453279</v>
      </c>
      <c r="M1032">
        <v>12.4</v>
      </c>
    </row>
    <row r="1033" spans="1:15" x14ac:dyDescent="0.25">
      <c r="A1033" s="8" t="s">
        <v>218</v>
      </c>
      <c r="B1033" s="1" t="s">
        <v>158</v>
      </c>
      <c r="C1033" s="1">
        <v>2018</v>
      </c>
      <c r="D1033" s="1">
        <v>2</v>
      </c>
      <c r="E1033" s="1">
        <v>3</v>
      </c>
      <c r="F1033" s="1">
        <v>2.5</v>
      </c>
      <c r="G1033" s="1">
        <v>1</v>
      </c>
      <c r="H1033" s="2">
        <v>0.95</v>
      </c>
      <c r="I1033" s="2">
        <v>1.0663254425250588</v>
      </c>
      <c r="J1033" s="3">
        <v>81067</v>
      </c>
      <c r="K1033">
        <v>7.3714973785214353</v>
      </c>
      <c r="L1033">
        <v>5.8098989037453279</v>
      </c>
      <c r="M1033">
        <v>12.3</v>
      </c>
    </row>
    <row r="1034" spans="1:15" x14ac:dyDescent="0.25">
      <c r="A1034" s="8" t="s">
        <v>219</v>
      </c>
      <c r="B1034" s="1" t="s">
        <v>158</v>
      </c>
      <c r="C1034" s="1">
        <v>2014</v>
      </c>
      <c r="D1034" s="1">
        <v>1</v>
      </c>
      <c r="E1034" s="1">
        <v>2</v>
      </c>
      <c r="F1034" s="1">
        <v>1.5</v>
      </c>
      <c r="G1034" s="1">
        <v>1</v>
      </c>
      <c r="H1034" s="2">
        <f>4.4044</f>
        <v>4.4043999999999999</v>
      </c>
      <c r="I1034" s="2">
        <f>1/1.0407</f>
        <v>0.96089170750456432</v>
      </c>
      <c r="J1034" s="3">
        <v>39882</v>
      </c>
      <c r="K1034">
        <v>3.0590348819801387</v>
      </c>
      <c r="L1034">
        <v>3.206247816757323</v>
      </c>
      <c r="M1034">
        <v>9.4</v>
      </c>
    </row>
    <row r="1035" spans="1:15" x14ac:dyDescent="0.25">
      <c r="A1035" s="8" t="s">
        <v>219</v>
      </c>
      <c r="B1035" s="1" t="s">
        <v>158</v>
      </c>
      <c r="C1035" s="1">
        <v>2015</v>
      </c>
      <c r="D1035" s="1">
        <v>1</v>
      </c>
      <c r="E1035" s="1">
        <v>2</v>
      </c>
      <c r="F1035" s="1">
        <v>1.5</v>
      </c>
      <c r="G1035" s="1">
        <v>1</v>
      </c>
      <c r="H1035" s="2">
        <v>3.67</v>
      </c>
      <c r="I1035" s="2">
        <v>1.1140819964349378</v>
      </c>
      <c r="J1035" s="3">
        <v>40307</v>
      </c>
      <c r="K1035">
        <v>3.0590348819801387</v>
      </c>
      <c r="L1035">
        <v>3.206247816757323</v>
      </c>
      <c r="M1035">
        <v>9.5</v>
      </c>
    </row>
    <row r="1036" spans="1:15" x14ac:dyDescent="0.25">
      <c r="A1036" t="s">
        <v>219</v>
      </c>
      <c r="B1036" s="1" t="s">
        <v>158</v>
      </c>
      <c r="C1036" s="1">
        <v>2016</v>
      </c>
      <c r="D1036" s="1">
        <v>1</v>
      </c>
      <c r="E1036" s="1">
        <v>2</v>
      </c>
      <c r="F1036" s="1">
        <v>1.5</v>
      </c>
      <c r="G1036" s="1">
        <v>1</v>
      </c>
      <c r="H1036" s="2">
        <v>1.29</v>
      </c>
      <c r="I1036" s="2">
        <v>1.1149514996097669</v>
      </c>
      <c r="J1036" s="6">
        <v>40078</v>
      </c>
      <c r="K1036" s="7">
        <v>3.0590348819801387</v>
      </c>
      <c r="L1036" s="7">
        <v>3.206247816757323</v>
      </c>
      <c r="M1036">
        <v>9.6</v>
      </c>
      <c r="O1036" s="7"/>
    </row>
    <row r="1037" spans="1:15" x14ac:dyDescent="0.25">
      <c r="A1037" t="s">
        <v>219</v>
      </c>
      <c r="B1037" s="1" t="s">
        <v>158</v>
      </c>
      <c r="C1037" s="1">
        <v>2017</v>
      </c>
      <c r="D1037" s="1">
        <v>1</v>
      </c>
      <c r="E1037" s="1">
        <v>2</v>
      </c>
      <c r="F1037" s="1">
        <v>1.5</v>
      </c>
      <c r="G1037" s="1">
        <v>1</v>
      </c>
      <c r="H1037" s="5">
        <v>1.59</v>
      </c>
      <c r="I1037" s="2">
        <v>1.1296882060551288</v>
      </c>
      <c r="J1037" s="3">
        <v>41749</v>
      </c>
      <c r="K1037">
        <v>3.0590348819801387</v>
      </c>
      <c r="L1037">
        <v>3.206247816757323</v>
      </c>
      <c r="M1037">
        <v>9.8000000000000007</v>
      </c>
    </row>
    <row r="1038" spans="1:15" x14ac:dyDescent="0.25">
      <c r="A1038" s="8" t="s">
        <v>219</v>
      </c>
      <c r="B1038" s="1" t="s">
        <v>158</v>
      </c>
      <c r="C1038" s="1">
        <v>2018</v>
      </c>
      <c r="D1038" s="1">
        <v>1</v>
      </c>
      <c r="E1038" s="1">
        <v>2</v>
      </c>
      <c r="F1038" s="1">
        <v>1.5</v>
      </c>
      <c r="G1038" s="1">
        <v>1</v>
      </c>
      <c r="H1038" s="2">
        <v>1.87</v>
      </c>
      <c r="I1038" s="2">
        <v>1.0648493238206793</v>
      </c>
      <c r="J1038" s="3">
        <v>42583</v>
      </c>
      <c r="K1038">
        <v>3.0590348819801387</v>
      </c>
      <c r="L1038">
        <v>3.206247816757323</v>
      </c>
      <c r="M1038">
        <v>10</v>
      </c>
    </row>
    <row r="1039" spans="1:15" x14ac:dyDescent="0.25">
      <c r="A1039" s="8" t="s">
        <v>220</v>
      </c>
      <c r="B1039" s="1" t="s">
        <v>158</v>
      </c>
      <c r="C1039" s="1">
        <v>2014</v>
      </c>
      <c r="D1039" s="1">
        <v>2</v>
      </c>
      <c r="E1039" s="1">
        <v>3</v>
      </c>
      <c r="F1039" s="1">
        <v>2.5</v>
      </c>
      <c r="G1039" s="1">
        <v>1</v>
      </c>
      <c r="H1039" s="5">
        <v>4.0212000000000003</v>
      </c>
      <c r="I1039" s="2">
        <f>1/0.84</f>
        <v>1.1904761904761905</v>
      </c>
      <c r="J1039" s="3">
        <v>24459</v>
      </c>
      <c r="K1039">
        <v>3.6636441263774246</v>
      </c>
      <c r="L1039">
        <v>4.1312568617086161</v>
      </c>
      <c r="M1039">
        <v>4.5999999999999996</v>
      </c>
    </row>
    <row r="1040" spans="1:15" x14ac:dyDescent="0.25">
      <c r="A1040" s="8" t="s">
        <v>220</v>
      </c>
      <c r="B1040" s="1" t="s">
        <v>158</v>
      </c>
      <c r="C1040" s="1">
        <v>2015</v>
      </c>
      <c r="D1040" s="1">
        <v>2</v>
      </c>
      <c r="E1040" s="1">
        <v>3</v>
      </c>
      <c r="F1040" s="1">
        <v>2.5</v>
      </c>
      <c r="G1040" s="1">
        <v>1</v>
      </c>
      <c r="H1040" s="2">
        <v>4.55</v>
      </c>
      <c r="I1040" s="2">
        <v>1.1076650420912715</v>
      </c>
      <c r="J1040" s="3">
        <v>24681</v>
      </c>
      <c r="K1040">
        <v>3.6636441263774246</v>
      </c>
      <c r="L1040">
        <v>4.1312568617086161</v>
      </c>
      <c r="M1040">
        <v>4.5999999999999996</v>
      </c>
    </row>
    <row r="1041" spans="1:15" x14ac:dyDescent="0.25">
      <c r="A1041" t="s">
        <v>220</v>
      </c>
      <c r="B1041" s="1" t="s">
        <v>158</v>
      </c>
      <c r="C1041" s="1">
        <v>2016</v>
      </c>
      <c r="D1041" s="1">
        <v>2</v>
      </c>
      <c r="E1041" s="1">
        <v>3</v>
      </c>
      <c r="F1041" s="1">
        <v>2.5</v>
      </c>
      <c r="G1041" s="1">
        <v>1</v>
      </c>
      <c r="H1041" s="2">
        <v>1.47</v>
      </c>
      <c r="I1041" s="2">
        <v>1.0163634515702815</v>
      </c>
      <c r="J1041" s="6">
        <v>24593</v>
      </c>
      <c r="K1041" s="7">
        <v>3.6636441263774246</v>
      </c>
      <c r="L1041" s="7">
        <v>4.1312568617086161</v>
      </c>
      <c r="M1041">
        <v>4.7</v>
      </c>
      <c r="O1041" s="7"/>
    </row>
    <row r="1042" spans="1:15" x14ac:dyDescent="0.25">
      <c r="A1042" t="s">
        <v>220</v>
      </c>
      <c r="B1042" s="1" t="s">
        <v>158</v>
      </c>
      <c r="C1042" s="1">
        <v>2017</v>
      </c>
      <c r="D1042" s="1">
        <v>2</v>
      </c>
      <c r="E1042" s="1">
        <v>3</v>
      </c>
      <c r="F1042" s="1">
        <v>2.5</v>
      </c>
      <c r="G1042" s="1">
        <v>1</v>
      </c>
      <c r="H1042" s="5">
        <v>1.3</v>
      </c>
      <c r="I1042" s="2">
        <v>1.0570824524312896</v>
      </c>
      <c r="J1042" s="3">
        <v>25529</v>
      </c>
      <c r="K1042">
        <v>3.6636441263774246</v>
      </c>
      <c r="L1042">
        <v>4.1312568617086161</v>
      </c>
      <c r="M1042">
        <v>4.8</v>
      </c>
    </row>
    <row r="1043" spans="1:15" x14ac:dyDescent="0.25">
      <c r="A1043" s="8" t="s">
        <v>220</v>
      </c>
      <c r="B1043" s="1" t="s">
        <v>158</v>
      </c>
      <c r="C1043" s="1">
        <v>2018</v>
      </c>
      <c r="D1043" s="1">
        <v>2</v>
      </c>
      <c r="E1043" s="1">
        <v>3</v>
      </c>
      <c r="F1043" s="1">
        <v>2.5</v>
      </c>
      <c r="G1043" s="1">
        <v>1</v>
      </c>
      <c r="H1043" s="2">
        <v>0.77</v>
      </c>
      <c r="I1043" s="2">
        <v>1.0119409026512851</v>
      </c>
      <c r="J1043" s="3">
        <v>25887</v>
      </c>
      <c r="K1043">
        <v>3.6636441263774246</v>
      </c>
      <c r="L1043">
        <v>4.1312568617086161</v>
      </c>
      <c r="M1043">
        <v>4.8</v>
      </c>
    </row>
    <row r="1044" spans="1:15" x14ac:dyDescent="0.25">
      <c r="A1044" s="8" t="s">
        <v>221</v>
      </c>
      <c r="B1044" s="1" t="s">
        <v>158</v>
      </c>
      <c r="C1044" s="1">
        <v>2014</v>
      </c>
      <c r="D1044" s="1">
        <v>2</v>
      </c>
      <c r="E1044" s="1">
        <v>3</v>
      </c>
      <c r="F1044" s="1">
        <v>2.5</v>
      </c>
      <c r="G1044" s="1">
        <v>1</v>
      </c>
      <c r="H1044" s="2">
        <f>35430490/10639475</f>
        <v>3.3300975847022527</v>
      </c>
      <c r="I1044" s="2">
        <f>(29741922+51780679)/82468067</f>
        <v>0.98853536848390056</v>
      </c>
      <c r="J1044" s="3">
        <v>32606</v>
      </c>
      <c r="K1044">
        <v>5.4620021127198157</v>
      </c>
      <c r="L1044">
        <v>2.4575902566333188</v>
      </c>
      <c r="M1044">
        <v>3.9</v>
      </c>
    </row>
    <row r="1045" spans="1:15" x14ac:dyDescent="0.25">
      <c r="A1045" s="8" t="s">
        <v>221</v>
      </c>
      <c r="B1045" s="1" t="s">
        <v>158</v>
      </c>
      <c r="C1045" s="1">
        <v>2015</v>
      </c>
      <c r="D1045" s="1">
        <v>2</v>
      </c>
      <c r="E1045" s="1">
        <v>3</v>
      </c>
      <c r="F1045" s="1">
        <v>2.5</v>
      </c>
      <c r="G1045" s="1">
        <v>1</v>
      </c>
      <c r="H1045" s="2">
        <v>1.7350000000000001</v>
      </c>
      <c r="I1045" s="2">
        <v>1.1785503830288744</v>
      </c>
      <c r="J1045" s="3">
        <v>32589</v>
      </c>
      <c r="K1045">
        <v>5.4620021127198157</v>
      </c>
      <c r="L1045">
        <v>2.4575902566333188</v>
      </c>
      <c r="M1045">
        <v>3.9</v>
      </c>
    </row>
    <row r="1046" spans="1:15" x14ac:dyDescent="0.25">
      <c r="A1046" t="s">
        <v>221</v>
      </c>
      <c r="B1046" s="1" t="s">
        <v>158</v>
      </c>
      <c r="C1046" s="1">
        <v>2016</v>
      </c>
      <c r="D1046" s="1">
        <v>2</v>
      </c>
      <c r="E1046" s="1">
        <v>3</v>
      </c>
      <c r="F1046" s="1">
        <v>2.5</v>
      </c>
      <c r="G1046" s="1">
        <v>1</v>
      </c>
      <c r="H1046" s="2">
        <v>1.613</v>
      </c>
      <c r="I1046" s="2">
        <v>1.0380982040901068</v>
      </c>
      <c r="J1046" s="6">
        <v>32186</v>
      </c>
      <c r="K1046" s="7">
        <v>5.4620021127198157</v>
      </c>
      <c r="L1046" s="7">
        <v>2.4575902566333188</v>
      </c>
      <c r="M1046">
        <v>3.9</v>
      </c>
      <c r="O1046" s="7"/>
    </row>
    <row r="1047" spans="1:15" x14ac:dyDescent="0.25">
      <c r="A1047" t="s">
        <v>221</v>
      </c>
      <c r="B1047" s="1" t="s">
        <v>158</v>
      </c>
      <c r="C1047" s="1">
        <v>2017</v>
      </c>
      <c r="D1047" s="1">
        <v>2</v>
      </c>
      <c r="E1047" s="1">
        <v>3</v>
      </c>
      <c r="F1047" s="1">
        <v>2.5</v>
      </c>
      <c r="G1047" s="1">
        <v>1</v>
      </c>
      <c r="H1047" s="5">
        <v>0.88700000000000001</v>
      </c>
      <c r="I1047" s="2">
        <v>1.0484378276368211</v>
      </c>
      <c r="J1047" s="3">
        <v>32574</v>
      </c>
      <c r="K1047">
        <v>5.4620021127198157</v>
      </c>
      <c r="L1047">
        <v>2.4575902566333188</v>
      </c>
      <c r="M1047">
        <v>3.9</v>
      </c>
    </row>
    <row r="1048" spans="1:15" x14ac:dyDescent="0.25">
      <c r="A1048" s="8" t="s">
        <v>221</v>
      </c>
      <c r="B1048" s="1" t="s">
        <v>158</v>
      </c>
      <c r="C1048" s="1">
        <v>2018</v>
      </c>
      <c r="D1048" s="1">
        <v>2</v>
      </c>
      <c r="E1048" s="1">
        <v>3</v>
      </c>
      <c r="F1048" s="1">
        <v>2.5</v>
      </c>
      <c r="G1048" s="1">
        <v>1</v>
      </c>
      <c r="H1048" s="2">
        <v>0.66200000000000003</v>
      </c>
      <c r="I1048" s="2">
        <v>0.99324592769169651</v>
      </c>
      <c r="J1048" s="3">
        <v>32555</v>
      </c>
      <c r="K1048">
        <v>5.4620021127198157</v>
      </c>
      <c r="L1048">
        <v>2.4575902566333188</v>
      </c>
      <c r="M1048">
        <v>3.9</v>
      </c>
    </row>
    <row r="1049" spans="1:15" x14ac:dyDescent="0.25">
      <c r="A1049" s="8" t="s">
        <v>222</v>
      </c>
      <c r="B1049" s="1" t="s">
        <v>158</v>
      </c>
      <c r="C1049" s="1">
        <v>2014</v>
      </c>
      <c r="D1049" s="1">
        <v>2</v>
      </c>
      <c r="E1049" s="1">
        <v>3</v>
      </c>
      <c r="F1049" s="1">
        <v>2.5</v>
      </c>
      <c r="G1049" s="1">
        <v>1</v>
      </c>
      <c r="H1049" s="5">
        <v>1.4853000000000001</v>
      </c>
      <c r="I1049" s="2">
        <f>1/1.1411</f>
        <v>0.87634738410305846</v>
      </c>
      <c r="J1049" s="3">
        <v>35580</v>
      </c>
      <c r="K1049">
        <v>4.4738715648583227</v>
      </c>
      <c r="L1049">
        <v>4.3798946319236798</v>
      </c>
      <c r="M1049">
        <v>5</v>
      </c>
    </row>
    <row r="1050" spans="1:15" x14ac:dyDescent="0.25">
      <c r="A1050" s="8" t="s">
        <v>222</v>
      </c>
      <c r="B1050" s="1" t="s">
        <v>158</v>
      </c>
      <c r="C1050" s="1">
        <v>2015</v>
      </c>
      <c r="D1050" s="1">
        <v>2</v>
      </c>
      <c r="E1050" s="1">
        <v>3</v>
      </c>
      <c r="F1050" s="1">
        <v>2.5</v>
      </c>
      <c r="G1050" s="1">
        <v>1</v>
      </c>
      <c r="H1050" s="2">
        <v>0.85930000000000006</v>
      </c>
      <c r="I1050" s="2">
        <v>0.96432015429122475</v>
      </c>
      <c r="J1050" s="3">
        <v>35566</v>
      </c>
      <c r="K1050">
        <v>4.4738715648583227</v>
      </c>
      <c r="L1050">
        <v>4.3798946319236798</v>
      </c>
      <c r="M1050">
        <v>5</v>
      </c>
    </row>
    <row r="1051" spans="1:15" x14ac:dyDescent="0.25">
      <c r="A1051" t="s">
        <v>222</v>
      </c>
      <c r="B1051" s="1" t="s">
        <v>158</v>
      </c>
      <c r="C1051" s="1">
        <v>2016</v>
      </c>
      <c r="D1051" s="1">
        <v>2</v>
      </c>
      <c r="E1051" s="1">
        <v>3</v>
      </c>
      <c r="F1051" s="1">
        <v>2.5</v>
      </c>
      <c r="G1051" s="1">
        <v>1</v>
      </c>
      <c r="H1051" s="2">
        <v>0.88170000000000004</v>
      </c>
      <c r="I1051" s="2">
        <v>1.09217999126256</v>
      </c>
      <c r="J1051" s="6">
        <v>35115</v>
      </c>
      <c r="K1051" s="7">
        <v>4.4738715648583227</v>
      </c>
      <c r="L1051" s="7">
        <v>4.3798946319236798</v>
      </c>
      <c r="M1051">
        <v>5</v>
      </c>
      <c r="O1051" s="7"/>
    </row>
    <row r="1052" spans="1:15" x14ac:dyDescent="0.25">
      <c r="A1052" t="s">
        <v>222</v>
      </c>
      <c r="B1052" s="1" t="s">
        <v>158</v>
      </c>
      <c r="C1052" s="1">
        <v>2017</v>
      </c>
      <c r="D1052" s="1">
        <v>2</v>
      </c>
      <c r="E1052" s="1">
        <v>3</v>
      </c>
      <c r="F1052" s="1">
        <v>2.5</v>
      </c>
      <c r="G1052" s="1">
        <v>1</v>
      </c>
      <c r="H1052" s="5">
        <v>1.054</v>
      </c>
      <c r="I1052" s="2">
        <v>1.2004801920768309</v>
      </c>
      <c r="J1052" s="3">
        <v>35566</v>
      </c>
      <c r="K1052">
        <v>4.4738715648583227</v>
      </c>
      <c r="L1052">
        <v>4.3798946319236798</v>
      </c>
      <c r="M1052">
        <v>5</v>
      </c>
    </row>
    <row r="1053" spans="1:15" x14ac:dyDescent="0.25">
      <c r="A1053" s="8" t="s">
        <v>222</v>
      </c>
      <c r="B1053" s="1" t="s">
        <v>158</v>
      </c>
      <c r="C1053" s="1">
        <v>2018</v>
      </c>
      <c r="D1053" s="1">
        <v>2</v>
      </c>
      <c r="E1053" s="1">
        <v>3</v>
      </c>
      <c r="F1053" s="1">
        <v>2.5</v>
      </c>
      <c r="G1053" s="1">
        <v>1</v>
      </c>
      <c r="H1053" s="2">
        <v>1.0976999999999999</v>
      </c>
      <c r="I1053" s="2">
        <v>1.0834236186348862</v>
      </c>
      <c r="J1053" s="3">
        <v>35601</v>
      </c>
      <c r="K1053">
        <v>4.4738715648583227</v>
      </c>
      <c r="L1053">
        <v>4.3798946319236798</v>
      </c>
      <c r="M1053">
        <v>5</v>
      </c>
    </row>
    <row r="1054" spans="1:15" x14ac:dyDescent="0.25">
      <c r="A1054" s="8" t="s">
        <v>223</v>
      </c>
      <c r="B1054" s="1" t="s">
        <v>158</v>
      </c>
      <c r="C1054" s="1">
        <v>2014</v>
      </c>
      <c r="D1054" s="1">
        <v>1</v>
      </c>
      <c r="E1054" s="1">
        <v>2</v>
      </c>
      <c r="F1054" s="1">
        <v>1.5</v>
      </c>
      <c r="G1054" s="1">
        <v>1</v>
      </c>
      <c r="H1054" s="2">
        <f>1/0.9314</f>
        <v>1.0736525660296328</v>
      </c>
      <c r="I1054" s="5">
        <v>0.70030000000000003</v>
      </c>
      <c r="J1054" s="3">
        <v>288652</v>
      </c>
      <c r="K1054">
        <v>1.9424863689637015</v>
      </c>
      <c r="L1054">
        <v>5.0362645015541929</v>
      </c>
      <c r="M1054">
        <v>128.1</v>
      </c>
    </row>
    <row r="1055" spans="1:15" x14ac:dyDescent="0.25">
      <c r="A1055" s="8" t="s">
        <v>223</v>
      </c>
      <c r="B1055" s="1" t="s">
        <v>158</v>
      </c>
      <c r="C1055" s="1">
        <v>2015</v>
      </c>
      <c r="D1055" s="1">
        <v>1</v>
      </c>
      <c r="E1055" s="1">
        <v>2</v>
      </c>
      <c r="F1055" s="1">
        <v>1.5</v>
      </c>
      <c r="G1055" s="1">
        <v>1</v>
      </c>
      <c r="H1055" s="2">
        <v>0.70400000000000007</v>
      </c>
      <c r="I1055" s="2">
        <v>1.1748120300751881</v>
      </c>
      <c r="J1055" s="3">
        <v>295317</v>
      </c>
      <c r="K1055">
        <v>1.9424863689637015</v>
      </c>
      <c r="L1055">
        <v>5.0362645015541929</v>
      </c>
      <c r="M1055">
        <v>131</v>
      </c>
    </row>
    <row r="1056" spans="1:15" x14ac:dyDescent="0.25">
      <c r="A1056" t="s">
        <v>223</v>
      </c>
      <c r="B1056" s="1" t="s">
        <v>158</v>
      </c>
      <c r="C1056" s="1">
        <v>2016</v>
      </c>
      <c r="D1056" s="1">
        <v>1</v>
      </c>
      <c r="E1056" s="1">
        <v>2</v>
      </c>
      <c r="F1056" s="1">
        <v>1.5</v>
      </c>
      <c r="G1056" s="1">
        <v>1</v>
      </c>
      <c r="H1056" s="2">
        <v>0.88</v>
      </c>
      <c r="I1056" s="2">
        <v>1.1637379262190155</v>
      </c>
      <c r="J1056" s="6">
        <v>294365</v>
      </c>
      <c r="K1056" s="7">
        <v>1.9424863689637015</v>
      </c>
      <c r="L1056" s="7">
        <v>5.0362645015541929</v>
      </c>
      <c r="M1056">
        <v>134.4</v>
      </c>
      <c r="O1056" s="7"/>
    </row>
    <row r="1057" spans="1:15" x14ac:dyDescent="0.25">
      <c r="A1057" t="s">
        <v>223</v>
      </c>
      <c r="B1057" s="1" t="s">
        <v>158</v>
      </c>
      <c r="C1057" s="1">
        <v>2017</v>
      </c>
      <c r="D1057" s="1">
        <v>1</v>
      </c>
      <c r="E1057" s="1">
        <v>2</v>
      </c>
      <c r="F1057" s="1">
        <v>1.5</v>
      </c>
      <c r="G1057" s="1">
        <v>1</v>
      </c>
      <c r="H1057" s="5">
        <v>0.83</v>
      </c>
      <c r="I1057" s="2">
        <v>1.1492931846914147</v>
      </c>
      <c r="J1057" s="3">
        <v>311142</v>
      </c>
      <c r="K1057">
        <v>1.9424863689637015</v>
      </c>
      <c r="L1057">
        <v>5.0362645015541929</v>
      </c>
      <c r="M1057">
        <v>138</v>
      </c>
    </row>
    <row r="1058" spans="1:15" x14ac:dyDescent="0.25">
      <c r="A1058" s="8" t="s">
        <v>223</v>
      </c>
      <c r="B1058" s="1" t="s">
        <v>158</v>
      </c>
      <c r="C1058" s="1">
        <v>2018</v>
      </c>
      <c r="D1058" s="1">
        <v>1</v>
      </c>
      <c r="E1058" s="1">
        <v>2</v>
      </c>
      <c r="F1058" s="1">
        <v>1.5</v>
      </c>
      <c r="G1058" s="1">
        <v>1</v>
      </c>
      <c r="H1058" s="2">
        <v>0.70299999999999996</v>
      </c>
      <c r="I1058" s="2">
        <v>1.1181930001118192</v>
      </c>
      <c r="J1058" s="3">
        <v>319922</v>
      </c>
      <c r="K1058">
        <v>1.9424863689637015</v>
      </c>
      <c r="L1058">
        <v>5.0362645015541929</v>
      </c>
      <c r="M1058">
        <v>141.9</v>
      </c>
    </row>
    <row r="1059" spans="1:15" x14ac:dyDescent="0.25">
      <c r="A1059" s="8" t="s">
        <v>224</v>
      </c>
      <c r="B1059" s="1" t="s">
        <v>158</v>
      </c>
      <c r="C1059" s="1">
        <v>2014</v>
      </c>
      <c r="D1059" s="1">
        <v>3</v>
      </c>
      <c r="E1059" s="1">
        <v>4</v>
      </c>
      <c r="F1059" s="1">
        <v>3.5</v>
      </c>
      <c r="G1059" s="1">
        <v>1</v>
      </c>
      <c r="H1059" s="5">
        <v>1.5669999999999999</v>
      </c>
      <c r="I1059" s="2">
        <f>1/1.2545</f>
        <v>0.79713033080908735</v>
      </c>
      <c r="J1059" s="3">
        <v>25060</v>
      </c>
      <c r="K1059">
        <v>7.3499798630688691</v>
      </c>
      <c r="L1059">
        <v>4.3294401933145394</v>
      </c>
      <c r="M1059">
        <v>2.2000000000000002</v>
      </c>
    </row>
    <row r="1060" spans="1:15" x14ac:dyDescent="0.25">
      <c r="A1060" s="8" t="s">
        <v>224</v>
      </c>
      <c r="B1060" s="1" t="s">
        <v>158</v>
      </c>
      <c r="C1060" s="1">
        <v>2015</v>
      </c>
      <c r="D1060" s="1">
        <v>3</v>
      </c>
      <c r="E1060" s="1">
        <v>4</v>
      </c>
      <c r="F1060" s="1">
        <v>3.5</v>
      </c>
      <c r="G1060" s="1">
        <v>1</v>
      </c>
      <c r="H1060" s="2">
        <v>0.81099999999999994</v>
      </c>
      <c r="I1060" s="2">
        <v>1.0333781130515656</v>
      </c>
      <c r="J1060" s="3">
        <v>25111</v>
      </c>
      <c r="K1060">
        <v>7.3499798630688691</v>
      </c>
      <c r="L1060">
        <v>4.3294401933145394</v>
      </c>
      <c r="M1060">
        <v>2.2000000000000002</v>
      </c>
    </row>
    <row r="1061" spans="1:15" x14ac:dyDescent="0.25">
      <c r="A1061" t="s">
        <v>224</v>
      </c>
      <c r="B1061" s="1" t="s">
        <v>158</v>
      </c>
      <c r="C1061" s="1">
        <v>2016</v>
      </c>
      <c r="D1061" s="1">
        <v>3</v>
      </c>
      <c r="E1061" s="1">
        <v>4</v>
      </c>
      <c r="F1061" s="1">
        <v>3.5</v>
      </c>
      <c r="G1061" s="1">
        <v>1</v>
      </c>
      <c r="H1061" s="2">
        <v>0.76629999999999998</v>
      </c>
      <c r="I1061" s="2">
        <v>1.0483279169724291</v>
      </c>
      <c r="J1061" s="6">
        <v>24830</v>
      </c>
      <c r="K1061" s="7">
        <v>7.3499798630688691</v>
      </c>
      <c r="L1061" s="7">
        <v>4.3294401933145394</v>
      </c>
      <c r="M1061">
        <v>2.2000000000000002</v>
      </c>
      <c r="O1061" s="7"/>
    </row>
    <row r="1062" spans="1:15" x14ac:dyDescent="0.25">
      <c r="A1062" t="s">
        <v>224</v>
      </c>
      <c r="B1062" s="1" t="s">
        <v>158</v>
      </c>
      <c r="C1062" s="1">
        <v>2017</v>
      </c>
      <c r="D1062" s="1">
        <v>3</v>
      </c>
      <c r="E1062" s="1">
        <v>4</v>
      </c>
      <c r="F1062" s="1">
        <v>3.5</v>
      </c>
      <c r="G1062" s="1">
        <v>1</v>
      </c>
      <c r="H1062" s="5">
        <v>1.1442000000000001</v>
      </c>
      <c r="I1062" s="2">
        <v>1.1224604332697272</v>
      </c>
      <c r="J1062" s="3">
        <v>25335</v>
      </c>
      <c r="K1062">
        <v>7.3499798630688691</v>
      </c>
      <c r="L1062">
        <v>4.3294401933145394</v>
      </c>
      <c r="M1062">
        <v>2.2000000000000002</v>
      </c>
    </row>
    <row r="1063" spans="1:15" x14ac:dyDescent="0.25">
      <c r="A1063" s="8" t="s">
        <v>224</v>
      </c>
      <c r="B1063" s="1" t="s">
        <v>158</v>
      </c>
      <c r="C1063" s="1">
        <v>2018</v>
      </c>
      <c r="D1063" s="1">
        <v>3</v>
      </c>
      <c r="E1063" s="1">
        <v>4</v>
      </c>
      <c r="F1063" s="1">
        <v>3.5</v>
      </c>
      <c r="G1063" s="1">
        <v>1</v>
      </c>
      <c r="H1063" s="2">
        <v>0.85529999999999995</v>
      </c>
      <c r="I1063" s="2">
        <v>1.0175010175010175</v>
      </c>
      <c r="J1063" s="3">
        <v>25541</v>
      </c>
      <c r="K1063">
        <v>7.3499798630688691</v>
      </c>
      <c r="L1063">
        <v>4.3294401933145394</v>
      </c>
      <c r="M1063">
        <v>2.2999999999999998</v>
      </c>
    </row>
    <row r="1064" spans="1:15" x14ac:dyDescent="0.25">
      <c r="A1064" s="8" t="s">
        <v>225</v>
      </c>
      <c r="B1064" s="1" t="s">
        <v>158</v>
      </c>
      <c r="C1064" s="1">
        <v>2014</v>
      </c>
      <c r="D1064" s="1">
        <v>2</v>
      </c>
      <c r="E1064" s="1">
        <v>3</v>
      </c>
      <c r="F1064" s="1">
        <v>2.5</v>
      </c>
      <c r="G1064" s="1">
        <v>1</v>
      </c>
      <c r="H1064" s="2">
        <f>1/1.0153</f>
        <v>0.98493056239535104</v>
      </c>
      <c r="I1064" s="5">
        <v>1.7988</v>
      </c>
      <c r="J1064" s="3">
        <v>161523</v>
      </c>
      <c r="K1064">
        <v>4.0023883716156963</v>
      </c>
      <c r="L1064">
        <v>6.5232399753699184</v>
      </c>
      <c r="M1064">
        <v>12.5</v>
      </c>
    </row>
    <row r="1065" spans="1:15" x14ac:dyDescent="0.25">
      <c r="A1065" s="8" t="s">
        <v>225</v>
      </c>
      <c r="B1065" s="1" t="s">
        <v>158</v>
      </c>
      <c r="C1065" s="1">
        <v>2015</v>
      </c>
      <c r="D1065" s="1">
        <v>2</v>
      </c>
      <c r="E1065" s="1">
        <v>3</v>
      </c>
      <c r="F1065" s="1">
        <v>2.5</v>
      </c>
      <c r="G1065" s="1">
        <v>1</v>
      </c>
      <c r="H1065" s="2">
        <v>1.325</v>
      </c>
      <c r="I1065" s="2">
        <v>1.0111223458038423</v>
      </c>
      <c r="J1065" s="3">
        <v>162775</v>
      </c>
      <c r="K1065">
        <v>4.0023883716156963</v>
      </c>
      <c r="L1065">
        <v>6.5232399753699184</v>
      </c>
      <c r="M1065">
        <v>12.6</v>
      </c>
    </row>
    <row r="1066" spans="1:15" x14ac:dyDescent="0.25">
      <c r="A1066" t="s">
        <v>225</v>
      </c>
      <c r="B1066" s="1" t="s">
        <v>158</v>
      </c>
      <c r="C1066" s="1">
        <v>2016</v>
      </c>
      <c r="D1066" s="1">
        <v>2</v>
      </c>
      <c r="E1066" s="1">
        <v>3</v>
      </c>
      <c r="F1066" s="1">
        <v>2.5</v>
      </c>
      <c r="G1066" s="1">
        <v>1</v>
      </c>
      <c r="H1066" s="2">
        <v>0.82679999999999998</v>
      </c>
      <c r="I1066" s="2">
        <v>1.0078613182826044</v>
      </c>
      <c r="J1066" s="6">
        <v>160779</v>
      </c>
      <c r="K1066" s="7">
        <v>4.0023883716156963</v>
      </c>
      <c r="L1066" s="7">
        <v>6.5232399753699184</v>
      </c>
      <c r="M1066">
        <v>12.7</v>
      </c>
      <c r="O1066" s="7"/>
    </row>
    <row r="1067" spans="1:15" x14ac:dyDescent="0.25">
      <c r="A1067" t="s">
        <v>225</v>
      </c>
      <c r="B1067" s="1" t="s">
        <v>158</v>
      </c>
      <c r="C1067" s="1">
        <v>2017</v>
      </c>
      <c r="D1067" s="1">
        <v>2</v>
      </c>
      <c r="E1067" s="1">
        <v>3</v>
      </c>
      <c r="F1067" s="1">
        <v>2.5</v>
      </c>
      <c r="G1067" s="1">
        <v>1</v>
      </c>
      <c r="H1067" s="5">
        <v>0.44269999999999998</v>
      </c>
      <c r="I1067" s="2">
        <v>1.0240655401945724</v>
      </c>
      <c r="J1067" s="3">
        <v>166013</v>
      </c>
      <c r="K1067">
        <v>4.0023883716156963</v>
      </c>
      <c r="L1067">
        <v>6.5232399753699184</v>
      </c>
      <c r="M1067">
        <v>12.8</v>
      </c>
    </row>
    <row r="1068" spans="1:15" x14ac:dyDescent="0.25">
      <c r="A1068" s="8" t="s">
        <v>225</v>
      </c>
      <c r="B1068" s="1" t="s">
        <v>158</v>
      </c>
      <c r="C1068" s="1">
        <v>2018</v>
      </c>
      <c r="D1068" s="1">
        <v>2</v>
      </c>
      <c r="E1068" s="1">
        <v>3</v>
      </c>
      <c r="F1068" s="1">
        <v>2.5</v>
      </c>
      <c r="G1068" s="1">
        <v>1</v>
      </c>
      <c r="H1068" s="2">
        <v>0.3886</v>
      </c>
      <c r="I1068" s="2">
        <v>1.0403662089055348</v>
      </c>
      <c r="J1068" s="3">
        <v>167657</v>
      </c>
      <c r="K1068">
        <v>4.0023883716156963</v>
      </c>
      <c r="L1068">
        <v>6.5232399753699184</v>
      </c>
      <c r="M1068">
        <v>12.9</v>
      </c>
    </row>
    <row r="1069" spans="1:15" x14ac:dyDescent="0.25">
      <c r="A1069" s="8" t="s">
        <v>226</v>
      </c>
      <c r="B1069" s="1" t="s">
        <v>158</v>
      </c>
      <c r="C1069" s="1">
        <v>2014</v>
      </c>
      <c r="D1069" s="1">
        <v>5</v>
      </c>
      <c r="E1069" s="1">
        <v>5</v>
      </c>
      <c r="F1069" s="1">
        <v>5</v>
      </c>
      <c r="G1069" s="1">
        <v>0</v>
      </c>
      <c r="H1069" s="2">
        <f>7369840/4866773</f>
        <v>1.5143175981291916</v>
      </c>
      <c r="I1069" s="2">
        <f>(4811103+11907807)/17155343</f>
        <v>0.97455993739093416</v>
      </c>
      <c r="J1069" s="3">
        <v>3717</v>
      </c>
      <c r="K1069">
        <v>68.632336655592468</v>
      </c>
      <c r="L1069">
        <v>46.622369878183832</v>
      </c>
      <c r="M1069">
        <v>4.2</v>
      </c>
    </row>
    <row r="1070" spans="1:15" x14ac:dyDescent="0.25">
      <c r="A1070" s="8" t="s">
        <v>226</v>
      </c>
      <c r="B1070" s="1" t="s">
        <v>158</v>
      </c>
      <c r="C1070" s="1">
        <v>2015</v>
      </c>
      <c r="D1070" s="1">
        <v>5</v>
      </c>
      <c r="E1070" s="1">
        <v>5</v>
      </c>
      <c r="F1070" s="1">
        <v>5</v>
      </c>
      <c r="G1070" s="1">
        <v>0</v>
      </c>
      <c r="H1070" s="2">
        <v>1.0923</v>
      </c>
      <c r="I1070" s="2">
        <v>0.81195193244559916</v>
      </c>
      <c r="J1070" s="3">
        <v>3753</v>
      </c>
      <c r="K1070">
        <v>68.632336655592468</v>
      </c>
      <c r="L1070">
        <v>46.622369878183832</v>
      </c>
      <c r="M1070">
        <v>4.2</v>
      </c>
    </row>
    <row r="1071" spans="1:15" x14ac:dyDescent="0.25">
      <c r="A1071" t="s">
        <v>226</v>
      </c>
      <c r="B1071" s="1" t="s">
        <v>158</v>
      </c>
      <c r="C1071" s="1">
        <v>2016</v>
      </c>
      <c r="D1071" s="1">
        <v>5</v>
      </c>
      <c r="E1071" s="1">
        <v>5</v>
      </c>
      <c r="F1071" s="1">
        <v>5</v>
      </c>
      <c r="G1071" s="1">
        <v>0</v>
      </c>
      <c r="H1071" s="2">
        <v>7.0199999999999999E-2</v>
      </c>
      <c r="I1071" s="2">
        <v>0.7843752451172642</v>
      </c>
      <c r="J1071" s="6">
        <v>3612</v>
      </c>
      <c r="K1071" s="7">
        <v>68.632336655592468</v>
      </c>
      <c r="L1071" s="7">
        <v>46.622369878183832</v>
      </c>
      <c r="M1071">
        <v>4.3</v>
      </c>
      <c r="O1071" s="7"/>
    </row>
    <row r="1072" spans="1:15" x14ac:dyDescent="0.25">
      <c r="A1072" t="s">
        <v>226</v>
      </c>
      <c r="B1072" s="1" t="s">
        <v>158</v>
      </c>
      <c r="C1072" s="1">
        <v>2017</v>
      </c>
      <c r="D1072" s="1">
        <v>5</v>
      </c>
      <c r="E1072" s="1">
        <v>5</v>
      </c>
      <c r="F1072" s="1">
        <v>5</v>
      </c>
      <c r="G1072" s="1">
        <v>0</v>
      </c>
      <c r="H1072" s="5">
        <v>0.1794</v>
      </c>
      <c r="I1072" s="2">
        <v>0.97418412079883099</v>
      </c>
      <c r="J1072" s="3">
        <v>3809</v>
      </c>
      <c r="K1072">
        <v>68.632336655592468</v>
      </c>
      <c r="L1072">
        <v>46.622369878183832</v>
      </c>
      <c r="M1072">
        <v>4.3</v>
      </c>
    </row>
    <row r="1073" spans="1:15" x14ac:dyDescent="0.25">
      <c r="A1073" s="8" t="s">
        <v>226</v>
      </c>
      <c r="B1073" s="1" t="s">
        <v>158</v>
      </c>
      <c r="C1073" s="1">
        <v>2018</v>
      </c>
      <c r="D1073" s="1">
        <v>5</v>
      </c>
      <c r="E1073" s="1">
        <v>5</v>
      </c>
      <c r="F1073" s="1">
        <v>5</v>
      </c>
      <c r="G1073" s="1">
        <v>0</v>
      </c>
      <c r="H1073" s="2">
        <v>0.43</v>
      </c>
      <c r="I1073" s="2">
        <v>0.87244808933868445</v>
      </c>
      <c r="J1073" s="3">
        <v>3848</v>
      </c>
      <c r="K1073">
        <v>68.632336655592468</v>
      </c>
      <c r="L1073">
        <v>46.622369878183832</v>
      </c>
      <c r="M1073">
        <v>4.4000000000000004</v>
      </c>
    </row>
    <row r="1074" spans="1:15" x14ac:dyDescent="0.25">
      <c r="A1074" s="8" t="s">
        <v>227</v>
      </c>
      <c r="B1074" s="1" t="s">
        <v>158</v>
      </c>
      <c r="C1074" s="1">
        <v>2014</v>
      </c>
      <c r="D1074" s="1">
        <v>5</v>
      </c>
      <c r="E1074" s="1">
        <v>5</v>
      </c>
      <c r="F1074" s="1">
        <v>5</v>
      </c>
      <c r="G1074" s="1">
        <v>0</v>
      </c>
      <c r="H1074" s="5">
        <v>1.33</v>
      </c>
      <c r="I1074" s="2">
        <f>1/1.4032</f>
        <v>0.7126567844925884</v>
      </c>
      <c r="J1074" s="3">
        <v>4690</v>
      </c>
      <c r="K1074">
        <v>91.7</v>
      </c>
      <c r="L1074">
        <v>86.4</v>
      </c>
      <c r="M1074">
        <v>9.6</v>
      </c>
    </row>
    <row r="1075" spans="1:15" x14ac:dyDescent="0.25">
      <c r="A1075" s="8" t="s">
        <v>227</v>
      </c>
      <c r="B1075" s="1" t="s">
        <v>158</v>
      </c>
      <c r="C1075" s="1">
        <v>2015</v>
      </c>
      <c r="D1075" s="1">
        <v>5</v>
      </c>
      <c r="E1075" s="1">
        <v>5</v>
      </c>
      <c r="F1075" s="1">
        <v>5</v>
      </c>
      <c r="G1075" s="1">
        <v>0</v>
      </c>
      <c r="H1075" s="2">
        <v>0.28000000000000003</v>
      </c>
      <c r="I1075" s="2">
        <v>0.68629469494200812</v>
      </c>
      <c r="J1075" s="3">
        <v>4731</v>
      </c>
      <c r="K1075">
        <v>91.7</v>
      </c>
      <c r="L1075">
        <v>86.4</v>
      </c>
      <c r="M1075">
        <v>9.6999999999999993</v>
      </c>
    </row>
    <row r="1076" spans="1:15" x14ac:dyDescent="0.25">
      <c r="A1076" t="s">
        <v>227</v>
      </c>
      <c r="B1076" s="1" t="s">
        <v>158</v>
      </c>
      <c r="C1076" s="1">
        <v>2016</v>
      </c>
      <c r="D1076" s="1">
        <v>5</v>
      </c>
      <c r="E1076" s="1">
        <v>5</v>
      </c>
      <c r="F1076" s="1">
        <v>5</v>
      </c>
      <c r="G1076" s="1">
        <v>0</v>
      </c>
      <c r="H1076" s="5">
        <v>0.18</v>
      </c>
      <c r="I1076" s="2">
        <v>0.60099765610914124</v>
      </c>
      <c r="J1076" s="3">
        <v>4775</v>
      </c>
      <c r="K1076" s="11">
        <v>91.7</v>
      </c>
      <c r="L1076" s="11">
        <v>86.4</v>
      </c>
      <c r="M1076">
        <v>9.6999999999999993</v>
      </c>
      <c r="O1076" s="7"/>
    </row>
    <row r="1077" spans="1:15" x14ac:dyDescent="0.25">
      <c r="A1077" t="s">
        <v>227</v>
      </c>
      <c r="B1077" s="1" t="s">
        <v>158</v>
      </c>
      <c r="C1077" s="1">
        <v>2017</v>
      </c>
      <c r="D1077" s="1">
        <v>5</v>
      </c>
      <c r="E1077" s="1">
        <v>5</v>
      </c>
      <c r="F1077" s="1">
        <v>5</v>
      </c>
      <c r="G1077" s="1">
        <v>0</v>
      </c>
      <c r="H1077" s="5">
        <v>0.27700000000000002</v>
      </c>
      <c r="I1077" s="2">
        <v>0.72118851867878264</v>
      </c>
      <c r="J1077" s="3">
        <v>4860</v>
      </c>
      <c r="K1077">
        <v>91.7</v>
      </c>
      <c r="L1077">
        <v>86.4</v>
      </c>
      <c r="M1077">
        <v>9.9</v>
      </c>
    </row>
    <row r="1078" spans="1:15" x14ac:dyDescent="0.25">
      <c r="A1078" s="8" t="s">
        <v>227</v>
      </c>
      <c r="B1078" s="1" t="s">
        <v>158</v>
      </c>
      <c r="C1078" s="1">
        <v>2018</v>
      </c>
      <c r="D1078" s="1">
        <v>5</v>
      </c>
      <c r="E1078" s="1">
        <v>5</v>
      </c>
      <c r="F1078" s="1">
        <v>5</v>
      </c>
      <c r="G1078" s="1">
        <v>0</v>
      </c>
      <c r="H1078" s="2">
        <v>0.39</v>
      </c>
      <c r="I1078" s="2">
        <v>0.71413268585303147</v>
      </c>
      <c r="J1078" s="3">
        <v>4994</v>
      </c>
      <c r="K1078">
        <v>91.7</v>
      </c>
      <c r="L1078">
        <v>86.4</v>
      </c>
      <c r="M1078">
        <v>10.199999999999999</v>
      </c>
    </row>
    <row r="1079" spans="1:15" x14ac:dyDescent="0.25">
      <c r="A1079" s="8" t="s">
        <v>228</v>
      </c>
      <c r="B1079" s="1" t="s">
        <v>158</v>
      </c>
      <c r="C1079" s="1">
        <v>2014</v>
      </c>
      <c r="D1079" s="1">
        <v>3</v>
      </c>
      <c r="E1079" s="1">
        <v>3</v>
      </c>
      <c r="F1079" s="1">
        <v>3</v>
      </c>
      <c r="G1079" s="1">
        <v>0</v>
      </c>
      <c r="H1079" s="5">
        <v>0.88480000000000003</v>
      </c>
      <c r="I1079" s="2">
        <f>1/0.9841</f>
        <v>1.0161568946245301</v>
      </c>
      <c r="J1079" s="3">
        <v>188777</v>
      </c>
      <c r="K1079">
        <v>6.9824848864543005</v>
      </c>
      <c r="L1079">
        <v>7.1848912735002921</v>
      </c>
      <c r="M1079">
        <v>50.6</v>
      </c>
    </row>
    <row r="1080" spans="1:15" x14ac:dyDescent="0.25">
      <c r="A1080" s="8" t="s">
        <v>228</v>
      </c>
      <c r="B1080" s="1" t="s">
        <v>158</v>
      </c>
      <c r="C1080" s="1">
        <v>2015</v>
      </c>
      <c r="D1080" s="1">
        <v>3</v>
      </c>
      <c r="E1080" s="1">
        <v>3</v>
      </c>
      <c r="F1080" s="1">
        <v>3</v>
      </c>
      <c r="G1080" s="1">
        <v>0</v>
      </c>
      <c r="H1080" s="2">
        <v>0.88</v>
      </c>
      <c r="I1080" s="2">
        <v>1.020512297173181</v>
      </c>
      <c r="J1080" s="3">
        <v>190011</v>
      </c>
      <c r="K1080">
        <v>6.9824848864543005</v>
      </c>
      <c r="L1080">
        <v>7.1848912735002921</v>
      </c>
      <c r="M1080">
        <v>50.9</v>
      </c>
    </row>
    <row r="1081" spans="1:15" x14ac:dyDescent="0.25">
      <c r="A1081" t="s">
        <v>228</v>
      </c>
      <c r="B1081" s="1" t="s">
        <v>158</v>
      </c>
      <c r="C1081" s="1">
        <v>2016</v>
      </c>
      <c r="D1081" s="1">
        <v>3</v>
      </c>
      <c r="E1081" s="1">
        <v>3</v>
      </c>
      <c r="F1081" s="1">
        <v>3</v>
      </c>
      <c r="G1081" s="1">
        <v>0</v>
      </c>
      <c r="H1081" s="2">
        <v>1</v>
      </c>
      <c r="I1081" s="2">
        <v>1.020512297173181</v>
      </c>
      <c r="J1081" s="6">
        <v>186753</v>
      </c>
      <c r="K1081" s="7">
        <v>6.9824848864543005</v>
      </c>
      <c r="L1081" s="7">
        <v>7.1848912735002921</v>
      </c>
      <c r="M1081">
        <v>51.3</v>
      </c>
      <c r="O1081" s="7"/>
    </row>
    <row r="1082" spans="1:15" x14ac:dyDescent="0.25">
      <c r="A1082" t="s">
        <v>228</v>
      </c>
      <c r="B1082" s="1" t="s">
        <v>158</v>
      </c>
      <c r="C1082" s="1">
        <v>2017</v>
      </c>
      <c r="D1082" s="1">
        <v>3</v>
      </c>
      <c r="E1082" s="1">
        <v>3</v>
      </c>
      <c r="F1082" s="1">
        <v>3</v>
      </c>
      <c r="G1082" s="1">
        <v>0</v>
      </c>
      <c r="H1082" s="5">
        <v>0.92</v>
      </c>
      <c r="I1082" s="2">
        <v>0.95712098009188362</v>
      </c>
      <c r="J1082" s="3">
        <v>192944</v>
      </c>
      <c r="K1082">
        <v>6.9824848864543005</v>
      </c>
      <c r="L1082">
        <v>7.1848912735002921</v>
      </c>
      <c r="M1082">
        <v>51.7</v>
      </c>
    </row>
    <row r="1083" spans="1:15" x14ac:dyDescent="0.25">
      <c r="A1083" s="8" t="s">
        <v>228</v>
      </c>
      <c r="B1083" s="1" t="s">
        <v>158</v>
      </c>
      <c r="C1083" s="1">
        <v>2018</v>
      </c>
      <c r="D1083" s="1">
        <v>3</v>
      </c>
      <c r="E1083" s="1">
        <v>3</v>
      </c>
      <c r="F1083" s="1">
        <v>3</v>
      </c>
      <c r="G1083" s="1">
        <v>0</v>
      </c>
      <c r="H1083" s="2">
        <v>0.9</v>
      </c>
      <c r="I1083" s="2">
        <v>1.0316723408645414</v>
      </c>
      <c r="J1083" s="3">
        <v>194072</v>
      </c>
      <c r="K1083">
        <v>6.9824848864543005</v>
      </c>
      <c r="L1083">
        <v>7.1848912735002921</v>
      </c>
      <c r="M1083">
        <v>52</v>
      </c>
    </row>
    <row r="1084" spans="1:15" x14ac:dyDescent="0.25">
      <c r="A1084" s="8" t="s">
        <v>229</v>
      </c>
      <c r="B1084" s="1" t="s">
        <v>158</v>
      </c>
      <c r="C1084" s="1">
        <v>2014</v>
      </c>
      <c r="D1084" s="9">
        <v>2</v>
      </c>
      <c r="E1084" s="9">
        <v>4</v>
      </c>
      <c r="F1084" s="9">
        <v>3</v>
      </c>
      <c r="G1084" s="1">
        <v>2</v>
      </c>
      <c r="H1084" s="5">
        <v>2.9163999999999999</v>
      </c>
      <c r="I1084" s="2">
        <f>1/0.9207</f>
        <v>1.0861301183881829</v>
      </c>
      <c r="J1084" s="3">
        <v>33744</v>
      </c>
      <c r="K1084">
        <v>5.6422676713311803</v>
      </c>
      <c r="L1084">
        <v>3.5103456524339194</v>
      </c>
      <c r="M1084">
        <v>0.9</v>
      </c>
    </row>
    <row r="1085" spans="1:15" x14ac:dyDescent="0.25">
      <c r="A1085" s="8" t="s">
        <v>229</v>
      </c>
      <c r="B1085" s="1" t="s">
        <v>158</v>
      </c>
      <c r="C1085" s="1">
        <v>2015</v>
      </c>
      <c r="D1085" s="9">
        <v>2</v>
      </c>
      <c r="E1085" s="9">
        <v>4</v>
      </c>
      <c r="F1085" s="9">
        <v>3</v>
      </c>
      <c r="G1085" s="1">
        <v>2</v>
      </c>
      <c r="H1085" s="2">
        <v>1.1081000000000001</v>
      </c>
      <c r="I1085" s="2">
        <v>1.06315118009781</v>
      </c>
      <c r="J1085" s="3">
        <v>33867</v>
      </c>
      <c r="K1085">
        <v>5.6422676713311803</v>
      </c>
      <c r="L1085">
        <v>3.5103456524339194</v>
      </c>
      <c r="M1085">
        <v>0.9</v>
      </c>
    </row>
    <row r="1086" spans="1:15" x14ac:dyDescent="0.25">
      <c r="A1086" s="10" t="s">
        <v>229</v>
      </c>
      <c r="B1086" s="9" t="s">
        <v>158</v>
      </c>
      <c r="C1086" s="1">
        <v>2016</v>
      </c>
      <c r="D1086" s="9">
        <v>2</v>
      </c>
      <c r="E1086" s="9">
        <v>4</v>
      </c>
      <c r="F1086" s="9">
        <v>3</v>
      </c>
      <c r="G1086" s="1">
        <v>2</v>
      </c>
      <c r="H1086" s="2">
        <v>0.83960000000000001</v>
      </c>
      <c r="I1086" s="2">
        <v>1.0008006405124099</v>
      </c>
      <c r="J1086" s="6">
        <v>33444</v>
      </c>
      <c r="K1086" s="7">
        <v>5.6422676713311803</v>
      </c>
      <c r="L1086" s="7">
        <v>3.5103456524339194</v>
      </c>
      <c r="M1086">
        <v>0.9</v>
      </c>
      <c r="O1086" s="7"/>
    </row>
    <row r="1087" spans="1:15" x14ac:dyDescent="0.25">
      <c r="A1087" s="10" t="s">
        <v>229</v>
      </c>
      <c r="B1087" s="9" t="s">
        <v>158</v>
      </c>
      <c r="C1087" s="1">
        <v>2017</v>
      </c>
      <c r="D1087" s="9">
        <v>2</v>
      </c>
      <c r="E1087" s="9">
        <v>4</v>
      </c>
      <c r="F1087" s="9">
        <v>3</v>
      </c>
      <c r="G1087" s="1">
        <v>2</v>
      </c>
      <c r="H1087" s="5">
        <v>0.98180000000000001</v>
      </c>
      <c r="I1087" s="2">
        <v>1.1228385358185493</v>
      </c>
      <c r="J1087" s="3">
        <v>34434</v>
      </c>
      <c r="K1087">
        <v>5.6422676713311803</v>
      </c>
      <c r="L1087">
        <v>3.5103456524339194</v>
      </c>
      <c r="M1087">
        <v>0.9</v>
      </c>
    </row>
    <row r="1088" spans="1:15" x14ac:dyDescent="0.25">
      <c r="A1088" s="8" t="s">
        <v>229</v>
      </c>
      <c r="B1088" s="1" t="s">
        <v>158</v>
      </c>
      <c r="C1088" s="1">
        <v>2018</v>
      </c>
      <c r="D1088" s="9">
        <v>2</v>
      </c>
      <c r="E1088" s="9">
        <v>4</v>
      </c>
      <c r="F1088" s="9">
        <v>3</v>
      </c>
      <c r="G1088" s="1">
        <v>2</v>
      </c>
      <c r="H1088" s="2">
        <v>0.70550000000000002</v>
      </c>
      <c r="I1088" s="2">
        <v>1.1079104808331488</v>
      </c>
      <c r="J1088" s="3">
        <v>34467</v>
      </c>
      <c r="K1088">
        <v>5.6422676713311803</v>
      </c>
      <c r="L1088">
        <v>3.5103456524339194</v>
      </c>
      <c r="M1088">
        <v>0.9</v>
      </c>
    </row>
    <row r="1089" spans="1:15" x14ac:dyDescent="0.25">
      <c r="A1089" s="8" t="s">
        <v>230</v>
      </c>
      <c r="B1089" s="1" t="s">
        <v>158</v>
      </c>
      <c r="C1089" s="1">
        <v>2014</v>
      </c>
      <c r="D1089" s="1">
        <v>3</v>
      </c>
      <c r="E1089" s="1">
        <v>4</v>
      </c>
      <c r="F1089" s="1">
        <v>3.5</v>
      </c>
      <c r="G1089" s="1">
        <v>1</v>
      </c>
      <c r="H1089" s="5">
        <v>0.95199999999999996</v>
      </c>
      <c r="I1089" s="2">
        <f>1/1.078</f>
        <v>0.92764378478664189</v>
      </c>
      <c r="J1089" s="3">
        <v>34362</v>
      </c>
      <c r="K1089">
        <v>4.8487360132615001</v>
      </c>
      <c r="L1089">
        <v>6.2636907228701677</v>
      </c>
      <c r="M1089">
        <v>1.4</v>
      </c>
    </row>
    <row r="1090" spans="1:15" x14ac:dyDescent="0.25">
      <c r="A1090" s="8" t="s">
        <v>230</v>
      </c>
      <c r="B1090" s="1" t="s">
        <v>158</v>
      </c>
      <c r="C1090" s="1">
        <v>2015</v>
      </c>
      <c r="D1090" s="1">
        <v>3</v>
      </c>
      <c r="E1090" s="1">
        <v>4</v>
      </c>
      <c r="F1090" s="1">
        <v>3.5</v>
      </c>
      <c r="G1090" s="1">
        <v>1</v>
      </c>
      <c r="H1090" s="2">
        <v>0.27910000000000001</v>
      </c>
      <c r="I1090" s="2">
        <v>1.129305477131564</v>
      </c>
      <c r="J1090" s="3">
        <v>34509</v>
      </c>
      <c r="K1090">
        <v>4.8487360132615001</v>
      </c>
      <c r="L1090">
        <v>6.2636907228701677</v>
      </c>
      <c r="M1090">
        <v>1.4</v>
      </c>
    </row>
    <row r="1091" spans="1:15" x14ac:dyDescent="0.25">
      <c r="A1091" t="s">
        <v>230</v>
      </c>
      <c r="B1091" s="1" t="s">
        <v>158</v>
      </c>
      <c r="C1091" s="1">
        <v>2016</v>
      </c>
      <c r="D1091" s="1">
        <v>3</v>
      </c>
      <c r="E1091" s="1">
        <v>4</v>
      </c>
      <c r="F1091" s="1">
        <v>3.5</v>
      </c>
      <c r="G1091" s="1">
        <v>1</v>
      </c>
      <c r="H1091" s="2">
        <v>0.54579999999999995</v>
      </c>
      <c r="I1091" s="2">
        <v>1.0410160316468873</v>
      </c>
      <c r="J1091" s="6">
        <v>33782</v>
      </c>
      <c r="K1091" s="7">
        <v>4.8487360132615001</v>
      </c>
      <c r="L1091" s="7">
        <v>6.2636907228701677</v>
      </c>
      <c r="M1091">
        <v>1.5</v>
      </c>
      <c r="O1091" s="7"/>
    </row>
    <row r="1092" spans="1:15" x14ac:dyDescent="0.25">
      <c r="A1092" t="s">
        <v>230</v>
      </c>
      <c r="B1092" s="1" t="s">
        <v>158</v>
      </c>
      <c r="C1092" s="1">
        <v>2017</v>
      </c>
      <c r="D1092" s="1">
        <v>3</v>
      </c>
      <c r="E1092" s="1">
        <v>4</v>
      </c>
      <c r="F1092" s="1">
        <v>3.5</v>
      </c>
      <c r="G1092" s="1">
        <v>1</v>
      </c>
      <c r="H1092" s="5">
        <v>0.78769999999999996</v>
      </c>
      <c r="I1092" s="2">
        <v>1.0094891984655763</v>
      </c>
      <c r="J1092" s="3">
        <v>34774</v>
      </c>
      <c r="K1092">
        <v>4.8487360132615001</v>
      </c>
      <c r="L1092">
        <v>6.2636907228701677</v>
      </c>
      <c r="M1092">
        <v>1.5</v>
      </c>
    </row>
    <row r="1093" spans="1:15" x14ac:dyDescent="0.25">
      <c r="A1093" s="8" t="s">
        <v>230</v>
      </c>
      <c r="B1093" s="1" t="s">
        <v>158</v>
      </c>
      <c r="C1093" s="1">
        <v>2018</v>
      </c>
      <c r="D1093" s="1">
        <v>3</v>
      </c>
      <c r="E1093" s="1">
        <v>4</v>
      </c>
      <c r="F1093" s="1">
        <v>3.5</v>
      </c>
      <c r="G1093" s="1">
        <v>1</v>
      </c>
      <c r="H1093" s="2">
        <v>1.6846000000000001</v>
      </c>
      <c r="I1093" s="2">
        <v>1.0743446497636442</v>
      </c>
      <c r="J1093" s="3">
        <v>35050</v>
      </c>
      <c r="K1093">
        <v>4.8487360132615001</v>
      </c>
      <c r="L1093">
        <v>6.2636907228701677</v>
      </c>
      <c r="M1093">
        <v>1.5</v>
      </c>
    </row>
    <row r="1094" spans="1:15" x14ac:dyDescent="0.25">
      <c r="A1094" s="8" t="s">
        <v>231</v>
      </c>
      <c r="B1094" s="1" t="s">
        <v>158</v>
      </c>
      <c r="C1094" s="1">
        <v>2014</v>
      </c>
      <c r="D1094" s="1">
        <v>5</v>
      </c>
      <c r="E1094" s="1">
        <v>5</v>
      </c>
      <c r="F1094" s="1">
        <v>5</v>
      </c>
      <c r="G1094" s="1">
        <v>0</v>
      </c>
      <c r="H1094" s="5">
        <v>1.8815999999999999</v>
      </c>
      <c r="I1094" s="2">
        <f>1/0.9911</f>
        <v>1.0089799212995663</v>
      </c>
      <c r="J1094" s="3">
        <v>1276</v>
      </c>
      <c r="K1094">
        <v>9.3971631205673756</v>
      </c>
      <c r="L1094">
        <v>0.88652482269503552</v>
      </c>
      <c r="M1094">
        <v>0</v>
      </c>
    </row>
    <row r="1095" spans="1:15" x14ac:dyDescent="0.25">
      <c r="A1095" s="8" t="s">
        <v>231</v>
      </c>
      <c r="B1095" s="1" t="s">
        <v>158</v>
      </c>
      <c r="C1095" s="1">
        <v>2015</v>
      </c>
      <c r="D1095" s="1">
        <v>5</v>
      </c>
      <c r="E1095" s="1">
        <v>5</v>
      </c>
      <c r="F1095" s="1">
        <v>5</v>
      </c>
      <c r="G1095" s="1">
        <v>0</v>
      </c>
      <c r="H1095" s="2">
        <v>2.7247000000000003</v>
      </c>
      <c r="I1095" s="2">
        <v>1.1927480916030533</v>
      </c>
      <c r="J1095" s="3">
        <v>1222</v>
      </c>
      <c r="K1095">
        <v>9.3971631205673756</v>
      </c>
      <c r="L1095">
        <v>0.88652482269503552</v>
      </c>
      <c r="M1095">
        <v>0</v>
      </c>
    </row>
    <row r="1096" spans="1:15" x14ac:dyDescent="0.25">
      <c r="A1096" t="s">
        <v>231</v>
      </c>
      <c r="B1096" s="1" t="s">
        <v>158</v>
      </c>
      <c r="C1096" s="1">
        <v>2016</v>
      </c>
      <c r="D1096" s="1">
        <v>5</v>
      </c>
      <c r="E1096" s="1">
        <v>5</v>
      </c>
      <c r="F1096" s="1">
        <v>5</v>
      </c>
      <c r="G1096" s="1">
        <v>0</v>
      </c>
      <c r="H1096" s="2">
        <v>1.9298</v>
      </c>
      <c r="I1096" s="2">
        <v>1.08542277216976</v>
      </c>
      <c r="J1096" s="6">
        <v>1128</v>
      </c>
      <c r="K1096" s="7">
        <v>9.3971631205673756</v>
      </c>
      <c r="L1096" s="7">
        <v>0.88652482269503552</v>
      </c>
      <c r="M1096">
        <v>0</v>
      </c>
      <c r="O1096" s="7"/>
    </row>
    <row r="1097" spans="1:15" x14ac:dyDescent="0.25">
      <c r="A1097" t="s">
        <v>231</v>
      </c>
      <c r="B1097" s="1" t="s">
        <v>158</v>
      </c>
      <c r="C1097" s="1">
        <v>2017</v>
      </c>
      <c r="D1097" s="1">
        <v>5</v>
      </c>
      <c r="E1097" s="1">
        <v>5</v>
      </c>
      <c r="F1097" s="1">
        <v>5</v>
      </c>
      <c r="G1097" s="1">
        <v>0</v>
      </c>
      <c r="H1097" s="5">
        <v>1.2621</v>
      </c>
      <c r="I1097" s="2">
        <v>1.1148272017837235</v>
      </c>
      <c r="J1097" s="3">
        <v>1148</v>
      </c>
      <c r="K1097">
        <v>9.3971631205673756</v>
      </c>
      <c r="L1097">
        <v>0.88652482269503552</v>
      </c>
      <c r="M1097">
        <v>0</v>
      </c>
    </row>
    <row r="1098" spans="1:15" x14ac:dyDescent="0.25">
      <c r="A1098" s="8" t="s">
        <v>231</v>
      </c>
      <c r="B1098" s="1" t="s">
        <v>158</v>
      </c>
      <c r="C1098" s="1">
        <v>2018</v>
      </c>
      <c r="D1098" s="1">
        <v>5</v>
      </c>
      <c r="E1098" s="1">
        <v>5</v>
      </c>
      <c r="F1098" s="1">
        <v>5</v>
      </c>
      <c r="G1098" s="1">
        <v>0</v>
      </c>
      <c r="H1098" s="2">
        <v>1.2618</v>
      </c>
      <c r="I1098" s="2">
        <v>0.85755938598747972</v>
      </c>
      <c r="J1098" s="3">
        <v>1157</v>
      </c>
      <c r="K1098">
        <v>9.3971631205673756</v>
      </c>
      <c r="L1098">
        <v>0.88652482269503552</v>
      </c>
      <c r="M1098">
        <v>0</v>
      </c>
    </row>
    <row r="1099" spans="1:15" x14ac:dyDescent="0.25">
      <c r="A1099" s="8" t="s">
        <v>232</v>
      </c>
      <c r="B1099" s="1" t="s">
        <v>158</v>
      </c>
      <c r="C1099" s="1">
        <v>2014</v>
      </c>
      <c r="D1099" s="1">
        <v>3</v>
      </c>
      <c r="E1099" s="1">
        <v>4</v>
      </c>
      <c r="F1099" s="1">
        <v>3.5</v>
      </c>
      <c r="G1099" s="1">
        <v>1</v>
      </c>
      <c r="H1099" s="5">
        <v>0.1827</v>
      </c>
      <c r="I1099" s="2">
        <f>1/0.9261</f>
        <v>1.0797969981643452</v>
      </c>
      <c r="J1099" s="3">
        <v>990</v>
      </c>
      <c r="K1099">
        <v>94.1</v>
      </c>
      <c r="L1099">
        <v>9.4</v>
      </c>
      <c r="M1099">
        <v>2.5</v>
      </c>
    </row>
    <row r="1100" spans="1:15" x14ac:dyDescent="0.25">
      <c r="A1100" s="8" t="s">
        <v>232</v>
      </c>
      <c r="B1100" s="1" t="s">
        <v>158</v>
      </c>
      <c r="C1100" s="1">
        <v>2015</v>
      </c>
      <c r="D1100" s="1">
        <v>3</v>
      </c>
      <c r="E1100" s="1">
        <v>4</v>
      </c>
      <c r="F1100" s="1">
        <v>3.5</v>
      </c>
      <c r="G1100" s="1">
        <v>1</v>
      </c>
      <c r="H1100" s="2">
        <v>0.27810000000000001</v>
      </c>
      <c r="I1100" s="2">
        <v>1.2347203358439314</v>
      </c>
      <c r="J1100" s="3">
        <v>989</v>
      </c>
      <c r="K1100">
        <v>94.1</v>
      </c>
      <c r="L1100">
        <v>9.4</v>
      </c>
      <c r="M1100">
        <v>2.5</v>
      </c>
    </row>
    <row r="1101" spans="1:15" x14ac:dyDescent="0.25">
      <c r="A1101" t="s">
        <v>232</v>
      </c>
      <c r="B1101" s="1" t="s">
        <v>158</v>
      </c>
      <c r="C1101" s="1">
        <v>2016</v>
      </c>
      <c r="D1101" s="1">
        <v>3</v>
      </c>
      <c r="E1101" s="1">
        <v>4</v>
      </c>
      <c r="F1101" s="1">
        <v>3.5</v>
      </c>
      <c r="G1101" s="1">
        <v>1</v>
      </c>
      <c r="H1101" s="5">
        <f>3185064/2330847</f>
        <v>1.3664835143619465</v>
      </c>
      <c r="I1101" s="2">
        <f>(3389285+15016243)/18017385</f>
        <v>1.021542693348674</v>
      </c>
      <c r="J1101" s="3">
        <v>999</v>
      </c>
      <c r="K1101" s="11">
        <v>94.1</v>
      </c>
      <c r="L1101" s="11">
        <v>9.4</v>
      </c>
      <c r="M1101">
        <v>2.6</v>
      </c>
      <c r="O1101" s="7"/>
    </row>
    <row r="1102" spans="1:15" x14ac:dyDescent="0.25">
      <c r="A1102" t="s">
        <v>232</v>
      </c>
      <c r="B1102" s="1" t="s">
        <v>158</v>
      </c>
      <c r="C1102" s="1">
        <v>2017</v>
      </c>
      <c r="D1102" s="1">
        <v>3</v>
      </c>
      <c r="E1102" s="1">
        <v>4</v>
      </c>
      <c r="F1102" s="1">
        <v>3.5</v>
      </c>
      <c r="G1102" s="1">
        <v>1</v>
      </c>
      <c r="H1102" s="5">
        <v>8.1600000000000006E-2</v>
      </c>
      <c r="I1102" s="2">
        <v>0.71999424004607959</v>
      </c>
      <c r="J1102" s="3">
        <v>998</v>
      </c>
      <c r="K1102">
        <v>94.1</v>
      </c>
      <c r="L1102">
        <v>9.4</v>
      </c>
      <c r="M1102">
        <v>2.6</v>
      </c>
    </row>
    <row r="1103" spans="1:15" x14ac:dyDescent="0.25">
      <c r="A1103" s="8" t="s">
        <v>232</v>
      </c>
      <c r="B1103" s="1" t="s">
        <v>158</v>
      </c>
      <c r="C1103" s="1">
        <v>2018</v>
      </c>
      <c r="D1103" s="1">
        <v>3</v>
      </c>
      <c r="E1103" s="1">
        <v>4</v>
      </c>
      <c r="F1103" s="1">
        <v>3.5</v>
      </c>
      <c r="G1103" s="1">
        <v>1</v>
      </c>
      <c r="H1103" s="2">
        <v>0</v>
      </c>
      <c r="I1103" s="2">
        <v>0.93562874251497008</v>
      </c>
      <c r="J1103" s="3">
        <v>1005</v>
      </c>
      <c r="K1103">
        <v>94.1</v>
      </c>
      <c r="L1103">
        <v>9.4</v>
      </c>
      <c r="M1103">
        <v>2.6</v>
      </c>
    </row>
    <row r="1104" spans="1:15" x14ac:dyDescent="0.25">
      <c r="A1104" s="8" t="s">
        <v>233</v>
      </c>
      <c r="B1104" s="1" t="s">
        <v>158</v>
      </c>
      <c r="C1104" s="1">
        <v>2014</v>
      </c>
      <c r="D1104" s="1">
        <v>4</v>
      </c>
      <c r="E1104" s="1">
        <v>4</v>
      </c>
      <c r="F1104" s="1">
        <v>4</v>
      </c>
      <c r="G1104" s="1">
        <v>0</v>
      </c>
      <c r="H1104" s="2">
        <f>672950/853589</f>
        <v>0.78837707608696928</v>
      </c>
      <c r="I1104" s="2">
        <f>6463599/7195267</f>
        <v>0.89831259910160388</v>
      </c>
      <c r="J1104" s="3">
        <v>291</v>
      </c>
      <c r="K1104">
        <v>93.6</v>
      </c>
      <c r="L1104">
        <v>66</v>
      </c>
      <c r="M1104">
        <v>24.6</v>
      </c>
    </row>
    <row r="1105" spans="1:15" x14ac:dyDescent="0.25">
      <c r="A1105" s="8" t="s">
        <v>233</v>
      </c>
      <c r="B1105" s="1" t="s">
        <v>158</v>
      </c>
      <c r="C1105" s="1">
        <v>2015</v>
      </c>
      <c r="D1105" s="1">
        <v>4</v>
      </c>
      <c r="E1105" s="1">
        <v>4</v>
      </c>
      <c r="F1105" s="1">
        <v>4</v>
      </c>
      <c r="G1105" s="1">
        <v>0</v>
      </c>
      <c r="H1105" s="2">
        <f>1620202/1389998</f>
        <v>1.1656146267836356</v>
      </c>
      <c r="I1105" s="2">
        <f>7550442/9743888</f>
        <v>0.7748900644178176</v>
      </c>
      <c r="J1105" s="3">
        <v>287</v>
      </c>
      <c r="K1105">
        <v>93.6</v>
      </c>
      <c r="L1105">
        <v>66</v>
      </c>
      <c r="M1105">
        <v>24.2</v>
      </c>
    </row>
    <row r="1106" spans="1:15" x14ac:dyDescent="0.25">
      <c r="A1106" t="s">
        <v>233</v>
      </c>
      <c r="B1106" s="1" t="s">
        <v>158</v>
      </c>
      <c r="C1106" s="1">
        <v>2016</v>
      </c>
      <c r="D1106" s="1">
        <v>4</v>
      </c>
      <c r="E1106" s="1">
        <v>4</v>
      </c>
      <c r="F1106" s="1">
        <v>4</v>
      </c>
      <c r="G1106" s="1">
        <v>0</v>
      </c>
      <c r="H1106" s="5">
        <f>995594/1525224</f>
        <v>0.65275264485741114</v>
      </c>
      <c r="I1106" s="2">
        <f>7943525/9134778</f>
        <v>0.86959146680959298</v>
      </c>
      <c r="J1106" s="3">
        <v>292</v>
      </c>
      <c r="K1106" s="11">
        <v>93.6</v>
      </c>
      <c r="L1106" s="11">
        <v>66</v>
      </c>
      <c r="M1106">
        <v>24.7</v>
      </c>
      <c r="O1106" s="7"/>
    </row>
    <row r="1107" spans="1:15" x14ac:dyDescent="0.25">
      <c r="A1107" t="s">
        <v>233</v>
      </c>
      <c r="B1107" s="1" t="s">
        <v>158</v>
      </c>
      <c r="C1107" s="1">
        <v>2017</v>
      </c>
      <c r="D1107" s="1">
        <v>4</v>
      </c>
      <c r="E1107" s="1">
        <v>4</v>
      </c>
      <c r="F1107" s="1">
        <v>4</v>
      </c>
      <c r="G1107" s="1">
        <v>0</v>
      </c>
      <c r="H1107" s="5">
        <v>0.42</v>
      </c>
      <c r="I1107" s="2">
        <v>0.86956521739130443</v>
      </c>
      <c r="J1107" s="3">
        <v>298</v>
      </c>
      <c r="K1107">
        <v>93.6</v>
      </c>
      <c r="L1107">
        <v>66</v>
      </c>
      <c r="M1107">
        <v>25.2</v>
      </c>
    </row>
    <row r="1108" spans="1:15" x14ac:dyDescent="0.25">
      <c r="A1108" s="8" t="s">
        <v>233</v>
      </c>
      <c r="B1108" s="1" t="s">
        <v>158</v>
      </c>
      <c r="C1108" s="1">
        <v>2018</v>
      </c>
      <c r="D1108" s="1">
        <v>4</v>
      </c>
      <c r="E1108" s="1">
        <v>4</v>
      </c>
      <c r="F1108" s="1">
        <v>4</v>
      </c>
      <c r="G1108" s="1">
        <v>0</v>
      </c>
      <c r="H1108" s="2">
        <v>0.25</v>
      </c>
      <c r="I1108" s="2">
        <v>0.77083172743390127</v>
      </c>
      <c r="J1108" s="3">
        <v>306</v>
      </c>
      <c r="K1108">
        <v>93.6</v>
      </c>
      <c r="L1108">
        <v>66</v>
      </c>
      <c r="M1108">
        <v>25.8</v>
      </c>
    </row>
    <row r="1109" spans="1:15" x14ac:dyDescent="0.25">
      <c r="A1109" s="8" t="s">
        <v>234</v>
      </c>
      <c r="B1109" s="1" t="s">
        <v>158</v>
      </c>
      <c r="C1109" s="1">
        <v>2014</v>
      </c>
      <c r="D1109" s="1">
        <v>3</v>
      </c>
      <c r="E1109" s="1">
        <v>3</v>
      </c>
      <c r="F1109" s="1">
        <v>3</v>
      </c>
      <c r="G1109" s="1">
        <v>0</v>
      </c>
      <c r="H1109" s="5">
        <v>0.19739999999999999</v>
      </c>
      <c r="I1109" s="2">
        <f>1/1.2536</f>
        <v>0.79770261646458196</v>
      </c>
      <c r="J1109" s="3">
        <v>2694</v>
      </c>
      <c r="K1109">
        <v>97.4</v>
      </c>
      <c r="L1109">
        <v>11.8</v>
      </c>
      <c r="M1109">
        <v>17</v>
      </c>
    </row>
    <row r="1110" spans="1:15" x14ac:dyDescent="0.25">
      <c r="A1110" s="8" t="s">
        <v>234</v>
      </c>
      <c r="B1110" s="1" t="s">
        <v>158</v>
      </c>
      <c r="C1110" s="1">
        <v>2015</v>
      </c>
      <c r="D1110" s="1">
        <v>3</v>
      </c>
      <c r="E1110" s="1">
        <v>3</v>
      </c>
      <c r="F1110" s="1">
        <v>3</v>
      </c>
      <c r="G1110" s="1">
        <v>0</v>
      </c>
      <c r="H1110" s="2">
        <v>1.7</v>
      </c>
      <c r="I1110" s="2">
        <v>0.87588683542086365</v>
      </c>
      <c r="J1110" s="3">
        <v>2695</v>
      </c>
      <c r="K1110">
        <v>97.4</v>
      </c>
      <c r="L1110">
        <v>11.8</v>
      </c>
      <c r="M1110">
        <v>17</v>
      </c>
    </row>
    <row r="1111" spans="1:15" x14ac:dyDescent="0.25">
      <c r="A1111" t="s">
        <v>234</v>
      </c>
      <c r="B1111" s="1" t="s">
        <v>158</v>
      </c>
      <c r="C1111" s="1">
        <v>2016</v>
      </c>
      <c r="D1111" s="1">
        <v>3</v>
      </c>
      <c r="E1111" s="1">
        <v>3</v>
      </c>
      <c r="F1111" s="1">
        <v>3</v>
      </c>
      <c r="G1111" s="1">
        <v>0</v>
      </c>
      <c r="H1111" s="5">
        <v>0.3</v>
      </c>
      <c r="I1111" s="2">
        <v>0.89976606082418575</v>
      </c>
      <c r="J1111" s="3">
        <v>2702</v>
      </c>
      <c r="K1111" s="11">
        <v>97.4</v>
      </c>
      <c r="L1111" s="11">
        <v>11.8</v>
      </c>
      <c r="M1111">
        <v>17</v>
      </c>
      <c r="O1111" s="7"/>
    </row>
    <row r="1112" spans="1:15" x14ac:dyDescent="0.25">
      <c r="A1112" t="s">
        <v>234</v>
      </c>
      <c r="B1112" s="1" t="s">
        <v>158</v>
      </c>
      <c r="C1112" s="1">
        <v>2017</v>
      </c>
      <c r="D1112" s="1">
        <v>3</v>
      </c>
      <c r="E1112" s="1">
        <v>3</v>
      </c>
      <c r="F1112" s="1">
        <v>3</v>
      </c>
      <c r="G1112" s="1">
        <v>0</v>
      </c>
      <c r="H1112" s="5">
        <v>0.36</v>
      </c>
      <c r="I1112" s="2">
        <v>0.83577099874634353</v>
      </c>
      <c r="J1112" s="3">
        <v>2799</v>
      </c>
      <c r="K1112">
        <v>97.4</v>
      </c>
      <c r="L1112">
        <v>11.8</v>
      </c>
      <c r="M1112">
        <v>17.600000000000001</v>
      </c>
    </row>
    <row r="1113" spans="1:15" x14ac:dyDescent="0.25">
      <c r="A1113" s="8" t="s">
        <v>234</v>
      </c>
      <c r="B1113" s="1" t="s">
        <v>158</v>
      </c>
      <c r="C1113" s="1">
        <v>2018</v>
      </c>
      <c r="D1113" s="1">
        <v>3</v>
      </c>
      <c r="E1113" s="1">
        <v>3</v>
      </c>
      <c r="F1113" s="1">
        <v>3</v>
      </c>
      <c r="G1113" s="1">
        <v>0</v>
      </c>
      <c r="H1113" s="2">
        <v>0.49</v>
      </c>
      <c r="I1113" s="2">
        <v>0.79314720812182748</v>
      </c>
      <c r="J1113" s="3">
        <v>2848</v>
      </c>
      <c r="K1113">
        <v>97.4</v>
      </c>
      <c r="L1113">
        <v>11.8</v>
      </c>
      <c r="M1113">
        <v>17.899999999999999</v>
      </c>
    </row>
    <row r="1114" spans="1:15" x14ac:dyDescent="0.25">
      <c r="A1114" s="8" t="s">
        <v>235</v>
      </c>
      <c r="B1114" s="1" t="s">
        <v>236</v>
      </c>
      <c r="C1114" s="1">
        <v>2014</v>
      </c>
      <c r="D1114" s="1">
        <v>1</v>
      </c>
      <c r="E1114" s="1">
        <v>1</v>
      </c>
      <c r="F1114" s="1">
        <v>1</v>
      </c>
      <c r="G1114" s="1">
        <v>0</v>
      </c>
      <c r="H1114" s="5">
        <v>0.44</v>
      </c>
      <c r="I1114" s="5">
        <v>1.0526794258373207</v>
      </c>
      <c r="J1114" s="3">
        <v>22624</v>
      </c>
      <c r="K1114">
        <v>1.2</v>
      </c>
      <c r="L1114">
        <v>36.299999999999997</v>
      </c>
      <c r="M1114">
        <v>1452.7</v>
      </c>
    </row>
    <row r="1115" spans="1:15" x14ac:dyDescent="0.25">
      <c r="A1115" s="8" t="s">
        <v>235</v>
      </c>
      <c r="B1115" s="1" t="s">
        <v>236</v>
      </c>
      <c r="C1115" s="1">
        <v>2015</v>
      </c>
      <c r="D1115" s="1">
        <v>1</v>
      </c>
      <c r="E1115" s="1">
        <v>1</v>
      </c>
      <c r="F1115" s="1">
        <v>1</v>
      </c>
      <c r="G1115" s="1">
        <v>0</v>
      </c>
      <c r="H1115" s="5">
        <v>0.92</v>
      </c>
      <c r="I1115" s="5">
        <v>1.0527364221230073</v>
      </c>
      <c r="J1115" s="3">
        <v>23085</v>
      </c>
      <c r="K1115">
        <v>1.2</v>
      </c>
      <c r="L1115">
        <v>36.299999999999997</v>
      </c>
      <c r="M1115">
        <v>1482.3</v>
      </c>
    </row>
    <row r="1116" spans="1:15" x14ac:dyDescent="0.25">
      <c r="A1116" t="s">
        <v>235</v>
      </c>
      <c r="B1116" s="1" t="s">
        <v>236</v>
      </c>
      <c r="C1116" s="1">
        <v>2016</v>
      </c>
      <c r="D1116" s="1">
        <v>1</v>
      </c>
      <c r="E1116" s="1">
        <v>1</v>
      </c>
      <c r="F1116" s="1">
        <v>1</v>
      </c>
      <c r="G1116" s="1">
        <v>0</v>
      </c>
      <c r="H1116" s="5">
        <v>0.9</v>
      </c>
      <c r="I1116" s="2">
        <v>1.0071972701478316</v>
      </c>
      <c r="J1116" s="3">
        <v>23552</v>
      </c>
      <c r="K1116" s="11">
        <v>1.2</v>
      </c>
      <c r="L1116" s="11">
        <v>36.299999999999997</v>
      </c>
      <c r="M1116">
        <v>1512.3</v>
      </c>
      <c r="O1116" s="7"/>
    </row>
    <row r="1117" spans="1:15" x14ac:dyDescent="0.25">
      <c r="A1117" t="s">
        <v>235</v>
      </c>
      <c r="B1117" s="1" t="s">
        <v>236</v>
      </c>
      <c r="C1117" s="1">
        <v>2017</v>
      </c>
      <c r="D1117" s="1">
        <v>1</v>
      </c>
      <c r="E1117" s="1">
        <v>1</v>
      </c>
      <c r="F1117" s="1">
        <v>1</v>
      </c>
      <c r="G1117" s="1">
        <v>0</v>
      </c>
      <c r="H1117" s="5">
        <v>1.23</v>
      </c>
      <c r="I1117" s="2">
        <v>1.0892284990480712</v>
      </c>
      <c r="J1117" s="3">
        <v>24248</v>
      </c>
      <c r="K1117">
        <v>1.2</v>
      </c>
      <c r="L1117">
        <v>36.299999999999997</v>
      </c>
      <c r="M1117">
        <v>1557</v>
      </c>
    </row>
    <row r="1118" spans="1:15" x14ac:dyDescent="0.25">
      <c r="A1118" s="8" t="s">
        <v>235</v>
      </c>
      <c r="B1118" s="1" t="s">
        <v>236</v>
      </c>
      <c r="C1118" s="1">
        <v>2018</v>
      </c>
      <c r="D1118" s="1">
        <v>1</v>
      </c>
      <c r="E1118" s="1">
        <v>1</v>
      </c>
      <c r="F1118" s="1">
        <v>1</v>
      </c>
      <c r="G1118" s="1">
        <v>0</v>
      </c>
      <c r="H1118" s="5">
        <v>0.91</v>
      </c>
      <c r="I1118" s="2">
        <v>0.91782460486688644</v>
      </c>
      <c r="J1118" s="3">
        <v>24794</v>
      </c>
      <c r="K1118">
        <v>1.2</v>
      </c>
      <c r="L1118">
        <v>36.299999999999997</v>
      </c>
      <c r="M1118">
        <v>1592.1</v>
      </c>
    </row>
    <row r="1119" spans="1:15" x14ac:dyDescent="0.25">
      <c r="A1119" s="8" t="s">
        <v>237</v>
      </c>
      <c r="B1119" s="1" t="s">
        <v>236</v>
      </c>
      <c r="C1119" s="1">
        <v>2014</v>
      </c>
      <c r="D1119" s="1">
        <v>1</v>
      </c>
      <c r="E1119" s="1">
        <v>2</v>
      </c>
      <c r="F1119" s="1">
        <v>1.5</v>
      </c>
      <c r="G1119" s="1">
        <v>1</v>
      </c>
      <c r="H1119" s="5">
        <v>1.1399999999999999</v>
      </c>
      <c r="I1119" s="5">
        <v>0.99320269767935854</v>
      </c>
      <c r="J1119" s="3">
        <v>39657</v>
      </c>
      <c r="K1119">
        <v>0.57122272540139973</v>
      </c>
      <c r="L1119">
        <v>5.5552696582955949</v>
      </c>
      <c r="M1119">
        <v>49.9</v>
      </c>
    </row>
    <row r="1120" spans="1:15" x14ac:dyDescent="0.25">
      <c r="A1120" s="8" t="s">
        <v>237</v>
      </c>
      <c r="B1120" s="1" t="s">
        <v>236</v>
      </c>
      <c r="C1120" s="1">
        <v>2015</v>
      </c>
      <c r="D1120" s="1">
        <v>1</v>
      </c>
      <c r="E1120" s="1">
        <v>2</v>
      </c>
      <c r="F1120" s="1">
        <v>1.5</v>
      </c>
      <c r="G1120" s="1">
        <v>1</v>
      </c>
      <c r="H1120" s="5">
        <v>0.91</v>
      </c>
      <c r="I1120" s="5">
        <v>1.0298755186721991</v>
      </c>
      <c r="J1120" s="3">
        <v>39630</v>
      </c>
      <c r="K1120">
        <v>0.57122272540139973</v>
      </c>
      <c r="L1120">
        <v>5.5552696582955949</v>
      </c>
      <c r="M1120">
        <v>49.9</v>
      </c>
    </row>
    <row r="1121" spans="1:15" x14ac:dyDescent="0.25">
      <c r="A1121" t="s">
        <v>237</v>
      </c>
      <c r="B1121" s="1" t="s">
        <v>236</v>
      </c>
      <c r="C1121" s="1">
        <v>2016</v>
      </c>
      <c r="D1121" s="1">
        <v>1</v>
      </c>
      <c r="E1121" s="1">
        <v>2</v>
      </c>
      <c r="F1121" s="1">
        <v>1.5</v>
      </c>
      <c r="G1121" s="1">
        <v>1</v>
      </c>
      <c r="H1121" s="5">
        <v>1.1000000000000001</v>
      </c>
      <c r="I1121" s="2">
        <v>0.99196097463849275</v>
      </c>
      <c r="J1121" s="6">
        <v>38864</v>
      </c>
      <c r="K1121" s="7">
        <v>0.57122272540139973</v>
      </c>
      <c r="L1121" s="7">
        <v>5.5552696582955949</v>
      </c>
      <c r="M1121">
        <v>49.9</v>
      </c>
      <c r="O1121" s="7"/>
    </row>
    <row r="1122" spans="1:15" x14ac:dyDescent="0.25">
      <c r="A1122" t="s">
        <v>237</v>
      </c>
      <c r="B1122" s="1" t="s">
        <v>236</v>
      </c>
      <c r="C1122" s="1">
        <v>2017</v>
      </c>
      <c r="D1122" s="1">
        <v>1</v>
      </c>
      <c r="E1122" s="1">
        <v>2</v>
      </c>
      <c r="F1122" s="1">
        <v>1.5</v>
      </c>
      <c r="G1122" s="1">
        <v>1</v>
      </c>
      <c r="H1122" s="5">
        <v>0.75</v>
      </c>
      <c r="I1122" s="2">
        <v>1.0106890900021379</v>
      </c>
      <c r="J1122" s="3">
        <v>39650</v>
      </c>
      <c r="K1122">
        <v>0.57122272540139973</v>
      </c>
      <c r="L1122">
        <v>5.5552696582955949</v>
      </c>
      <c r="M1122">
        <v>49.9</v>
      </c>
    </row>
    <row r="1123" spans="1:15" x14ac:dyDescent="0.25">
      <c r="A1123" s="8" t="s">
        <v>237</v>
      </c>
      <c r="B1123" s="1" t="s">
        <v>236</v>
      </c>
      <c r="C1123" s="1">
        <v>2018</v>
      </c>
      <c r="D1123" s="1">
        <v>1</v>
      </c>
      <c r="E1123" s="1">
        <v>2</v>
      </c>
      <c r="F1123" s="1">
        <v>1.5</v>
      </c>
      <c r="G1123" s="1">
        <v>1</v>
      </c>
      <c r="H1123" s="5">
        <v>1.28</v>
      </c>
      <c r="I1123" s="2">
        <v>1.0115388983532085</v>
      </c>
      <c r="J1123" s="3">
        <v>39734</v>
      </c>
      <c r="K1123">
        <v>0.57122272540139973</v>
      </c>
      <c r="L1123">
        <v>5.5552696582955949</v>
      </c>
      <c r="M1123">
        <v>50</v>
      </c>
    </row>
    <row r="1124" spans="1:15" x14ac:dyDescent="0.25">
      <c r="A1124" s="8" t="s">
        <v>238</v>
      </c>
      <c r="B1124" s="1" t="s">
        <v>236</v>
      </c>
      <c r="C1124" s="1">
        <v>2014</v>
      </c>
      <c r="D1124" s="1">
        <v>2</v>
      </c>
      <c r="E1124" s="1">
        <v>2</v>
      </c>
      <c r="F1124" s="1">
        <v>2</v>
      </c>
      <c r="G1124" s="1">
        <v>0</v>
      </c>
      <c r="H1124" s="5">
        <v>0.56999999999999995</v>
      </c>
      <c r="I1124" s="5">
        <v>0.92985781990521321</v>
      </c>
      <c r="J1124" s="3">
        <v>8744</v>
      </c>
      <c r="K1124">
        <v>2.6247017384388136</v>
      </c>
      <c r="L1124">
        <v>4.5222133848426314</v>
      </c>
      <c r="M1124">
        <v>9.4</v>
      </c>
    </row>
    <row r="1125" spans="1:15" x14ac:dyDescent="0.25">
      <c r="A1125" s="8" t="s">
        <v>238</v>
      </c>
      <c r="B1125" s="1" t="s">
        <v>236</v>
      </c>
      <c r="C1125" s="1">
        <v>2015</v>
      </c>
      <c r="D1125" s="1">
        <v>2</v>
      </c>
      <c r="E1125" s="1">
        <v>2</v>
      </c>
      <c r="F1125" s="1">
        <v>2</v>
      </c>
      <c r="G1125" s="1">
        <v>0</v>
      </c>
      <c r="H1125" s="5">
        <v>2.1</v>
      </c>
      <c r="I1125" s="5">
        <v>1.0152746499559384</v>
      </c>
      <c r="J1125" s="3">
        <v>8819</v>
      </c>
      <c r="K1125">
        <v>2.6247017384388136</v>
      </c>
      <c r="L1125">
        <v>4.5222133848426314</v>
      </c>
      <c r="M1125">
        <v>9.5</v>
      </c>
    </row>
    <row r="1126" spans="1:15" x14ac:dyDescent="0.25">
      <c r="A1126" t="s">
        <v>238</v>
      </c>
      <c r="B1126" s="1" t="s">
        <v>236</v>
      </c>
      <c r="C1126" s="1">
        <v>2016</v>
      </c>
      <c r="D1126" s="1">
        <v>2</v>
      </c>
      <c r="E1126" s="1">
        <v>2</v>
      </c>
      <c r="F1126" s="1">
        <v>2</v>
      </c>
      <c r="G1126" s="1">
        <v>0</v>
      </c>
      <c r="H1126" s="2">
        <v>3.78</v>
      </c>
      <c r="I1126" s="2">
        <v>0.93435428980834678</v>
      </c>
      <c r="J1126" s="6">
        <v>8801</v>
      </c>
      <c r="K1126" s="7">
        <v>2.6247017384388136</v>
      </c>
      <c r="L1126" s="7">
        <v>4.5222133848426314</v>
      </c>
      <c r="M1126">
        <v>9.6</v>
      </c>
      <c r="O1126" s="7"/>
    </row>
    <row r="1127" spans="1:15" x14ac:dyDescent="0.25">
      <c r="A1127" t="s">
        <v>238</v>
      </c>
      <c r="B1127" s="1" t="s">
        <v>236</v>
      </c>
      <c r="C1127" s="1">
        <v>2017</v>
      </c>
      <c r="D1127" s="1">
        <v>2</v>
      </c>
      <c r="E1127" s="1">
        <v>2</v>
      </c>
      <c r="F1127" s="1">
        <v>2</v>
      </c>
      <c r="G1127" s="1">
        <v>0</v>
      </c>
      <c r="H1127" s="5">
        <v>0.44</v>
      </c>
      <c r="I1127" s="2">
        <v>1.0306784170269372</v>
      </c>
      <c r="J1127" s="3">
        <v>8982</v>
      </c>
      <c r="K1127">
        <v>2.6247017384388136</v>
      </c>
      <c r="L1127">
        <v>4.5222133848426314</v>
      </c>
      <c r="M1127">
        <v>9.6</v>
      </c>
    </row>
    <row r="1128" spans="1:15" x14ac:dyDescent="0.25">
      <c r="A1128" s="8" t="s">
        <v>238</v>
      </c>
      <c r="B1128" s="1" t="s">
        <v>236</v>
      </c>
      <c r="C1128" s="1">
        <v>2018</v>
      </c>
      <c r="D1128" s="1">
        <v>2</v>
      </c>
      <c r="E1128" s="1">
        <v>2</v>
      </c>
      <c r="F1128" s="1">
        <v>2</v>
      </c>
      <c r="G1128" s="1">
        <v>0</v>
      </c>
      <c r="H1128" s="5">
        <v>1.07</v>
      </c>
      <c r="I1128" s="2">
        <v>0.98088547622937428</v>
      </c>
      <c r="J1128" s="3">
        <v>9059</v>
      </c>
      <c r="K1128">
        <v>2.6247017384388136</v>
      </c>
      <c r="L1128">
        <v>4.5222133848426314</v>
      </c>
      <c r="M1128">
        <v>9.6999999999999993</v>
      </c>
    </row>
    <row r="1129" spans="1:15" x14ac:dyDescent="0.25">
      <c r="A1129" s="8" t="s">
        <v>239</v>
      </c>
      <c r="B1129" s="1" t="s">
        <v>236</v>
      </c>
      <c r="C1129" s="1">
        <v>2014</v>
      </c>
      <c r="D1129" s="1">
        <v>2</v>
      </c>
      <c r="E1129" s="1">
        <v>2</v>
      </c>
      <c r="F1129" s="1">
        <v>2</v>
      </c>
      <c r="G1129" s="1">
        <v>0</v>
      </c>
      <c r="H1129" s="5">
        <v>0.41</v>
      </c>
      <c r="I1129" s="5">
        <v>0.95972543615610617</v>
      </c>
      <c r="J1129" s="3">
        <v>25705</v>
      </c>
      <c r="K1129">
        <v>1.4997487534304819</v>
      </c>
      <c r="L1129">
        <v>2.5743110045997448</v>
      </c>
      <c r="M1129">
        <v>14.1</v>
      </c>
    </row>
    <row r="1130" spans="1:15" x14ac:dyDescent="0.25">
      <c r="A1130" s="8" t="s">
        <v>239</v>
      </c>
      <c r="B1130" s="1" t="s">
        <v>236</v>
      </c>
      <c r="C1130" s="1">
        <v>2015</v>
      </c>
      <c r="D1130" s="1">
        <v>2</v>
      </c>
      <c r="E1130" s="1">
        <v>2</v>
      </c>
      <c r="F1130" s="1">
        <v>2</v>
      </c>
      <c r="G1130" s="1">
        <v>0</v>
      </c>
      <c r="H1130" s="5">
        <v>0.5</v>
      </c>
      <c r="I1130" s="5">
        <v>1.0244954591321898</v>
      </c>
      <c r="J1130" s="3">
        <v>26203</v>
      </c>
      <c r="K1130">
        <v>1.4997487534304819</v>
      </c>
      <c r="L1130">
        <v>2.5743110045997448</v>
      </c>
      <c r="M1130">
        <v>14.3</v>
      </c>
    </row>
    <row r="1131" spans="1:15" x14ac:dyDescent="0.25">
      <c r="A1131" t="s">
        <v>239</v>
      </c>
      <c r="B1131" s="1" t="s">
        <v>236</v>
      </c>
      <c r="C1131" s="1">
        <v>2016</v>
      </c>
      <c r="D1131" s="1">
        <v>2</v>
      </c>
      <c r="E1131" s="1">
        <v>2</v>
      </c>
      <c r="F1131" s="1">
        <v>2</v>
      </c>
      <c r="G1131" s="1">
        <v>0</v>
      </c>
      <c r="H1131" s="2">
        <v>1.07</v>
      </c>
      <c r="I1131" s="2">
        <v>0.9685463779225757</v>
      </c>
      <c r="J1131" s="6">
        <v>25871</v>
      </c>
      <c r="K1131" s="7">
        <v>1.4997487534304819</v>
      </c>
      <c r="L1131" s="7">
        <v>2.5743110045997448</v>
      </c>
      <c r="M1131">
        <v>14.5</v>
      </c>
      <c r="O1131" s="7"/>
    </row>
    <row r="1132" spans="1:15" x14ac:dyDescent="0.25">
      <c r="A1132" t="s">
        <v>239</v>
      </c>
      <c r="B1132" s="1" t="s">
        <v>236</v>
      </c>
      <c r="C1132" s="1">
        <v>2017</v>
      </c>
      <c r="D1132" s="1">
        <v>2</v>
      </c>
      <c r="E1132" s="1">
        <v>2</v>
      </c>
      <c r="F1132" s="1">
        <v>2</v>
      </c>
      <c r="G1132" s="1">
        <v>0</v>
      </c>
      <c r="H1132" s="5">
        <v>0.77</v>
      </c>
      <c r="I1132" s="2">
        <v>0.99772634259469783</v>
      </c>
      <c r="J1132" s="3">
        <v>26790</v>
      </c>
      <c r="K1132">
        <v>1.4997487534304819</v>
      </c>
      <c r="L1132">
        <v>2.5743110045997448</v>
      </c>
      <c r="M1132">
        <v>14.7</v>
      </c>
    </row>
    <row r="1133" spans="1:15" x14ac:dyDescent="0.25">
      <c r="A1133" s="8" t="s">
        <v>239</v>
      </c>
      <c r="B1133" s="1" t="s">
        <v>236</v>
      </c>
      <c r="C1133" s="1">
        <v>2018</v>
      </c>
      <c r="D1133" s="1">
        <v>2</v>
      </c>
      <c r="E1133" s="1">
        <v>2</v>
      </c>
      <c r="F1133" s="1">
        <v>2</v>
      </c>
      <c r="G1133" s="1">
        <v>0</v>
      </c>
      <c r="H1133" s="5">
        <v>0.73</v>
      </c>
      <c r="I1133" s="2">
        <v>1.0137056062350545</v>
      </c>
      <c r="J1133" s="3">
        <v>27037</v>
      </c>
      <c r="K1133">
        <v>1.4997487534304819</v>
      </c>
      <c r="L1133">
        <v>2.5743110045997448</v>
      </c>
      <c r="M1133">
        <v>14.8</v>
      </c>
    </row>
    <row r="1134" spans="1:15" x14ac:dyDescent="0.25">
      <c r="A1134" s="8" t="s">
        <v>240</v>
      </c>
      <c r="B1134" s="1" t="s">
        <v>236</v>
      </c>
      <c r="C1134" s="1">
        <v>2014</v>
      </c>
      <c r="D1134" s="1">
        <v>5</v>
      </c>
      <c r="E1134" s="1">
        <v>5</v>
      </c>
      <c r="F1134" s="1">
        <v>5</v>
      </c>
      <c r="G1134" s="1">
        <v>0</v>
      </c>
      <c r="J1134" s="3">
        <v>2605</v>
      </c>
      <c r="K1134">
        <v>83.6</v>
      </c>
      <c r="L1134">
        <v>75.5</v>
      </c>
      <c r="M1134">
        <v>0</v>
      </c>
    </row>
    <row r="1135" spans="1:15" x14ac:dyDescent="0.25">
      <c r="A1135" s="8" t="s">
        <v>240</v>
      </c>
      <c r="B1135" s="1" t="s">
        <v>236</v>
      </c>
      <c r="C1135" s="1">
        <v>2015</v>
      </c>
      <c r="D1135" s="1">
        <v>5</v>
      </c>
      <c r="E1135" s="1">
        <v>5</v>
      </c>
      <c r="F1135" s="1">
        <v>5</v>
      </c>
      <c r="G1135" s="1">
        <v>0</v>
      </c>
      <c r="J1135" s="3">
        <v>2568</v>
      </c>
      <c r="K1135">
        <v>83.6</v>
      </c>
      <c r="L1135">
        <v>75.5</v>
      </c>
      <c r="M1135">
        <v>0</v>
      </c>
    </row>
    <row r="1136" spans="1:15" x14ac:dyDescent="0.25">
      <c r="A1136" t="s">
        <v>240</v>
      </c>
      <c r="B1136" s="1" t="s">
        <v>236</v>
      </c>
      <c r="C1136" s="1">
        <v>2016</v>
      </c>
      <c r="D1136" s="1">
        <v>5</v>
      </c>
      <c r="E1136" s="1">
        <v>5</v>
      </c>
      <c r="F1136" s="1">
        <v>5</v>
      </c>
      <c r="G1136" s="1">
        <v>0</v>
      </c>
      <c r="H1136" s="5"/>
      <c r="J1136" s="3">
        <v>2498</v>
      </c>
      <c r="K1136" s="11">
        <v>83.6</v>
      </c>
      <c r="L1136" s="11">
        <v>75.5</v>
      </c>
      <c r="M1136">
        <v>0</v>
      </c>
      <c r="O1136" s="7"/>
    </row>
    <row r="1137" spans="1:15" x14ac:dyDescent="0.25">
      <c r="A1137" t="s">
        <v>240</v>
      </c>
      <c r="B1137" s="1" t="s">
        <v>236</v>
      </c>
      <c r="C1137" s="1">
        <v>2017</v>
      </c>
      <c r="D1137" s="1">
        <v>5</v>
      </c>
      <c r="E1137" s="1">
        <v>5</v>
      </c>
      <c r="F1137" s="1">
        <v>5</v>
      </c>
      <c r="G1137" s="1">
        <v>0</v>
      </c>
      <c r="H1137" s="5"/>
      <c r="J1137" s="3">
        <v>2523</v>
      </c>
      <c r="K1137">
        <v>83.6</v>
      </c>
      <c r="L1137">
        <v>75.5</v>
      </c>
      <c r="M1137">
        <v>0</v>
      </c>
    </row>
    <row r="1138" spans="1:15" x14ac:dyDescent="0.25">
      <c r="A1138" s="8" t="s">
        <v>240</v>
      </c>
      <c r="B1138" s="1" t="s">
        <v>236</v>
      </c>
      <c r="C1138" s="1">
        <v>2018</v>
      </c>
      <c r="D1138" s="1">
        <v>5</v>
      </c>
      <c r="E1138" s="1">
        <v>5</v>
      </c>
      <c r="F1138" s="1">
        <v>5</v>
      </c>
      <c r="G1138" s="1">
        <v>0</v>
      </c>
      <c r="J1138" s="3">
        <v>2558</v>
      </c>
      <c r="K1138">
        <v>83.6</v>
      </c>
      <c r="L1138">
        <v>75.5</v>
      </c>
      <c r="M1138">
        <v>0</v>
      </c>
    </row>
    <row r="1139" spans="1:15" x14ac:dyDescent="0.25">
      <c r="A1139" s="8" t="s">
        <v>241</v>
      </c>
      <c r="B1139" s="1" t="s">
        <v>236</v>
      </c>
      <c r="C1139" s="1">
        <v>2014</v>
      </c>
      <c r="D1139" s="1">
        <v>1</v>
      </c>
      <c r="E1139" s="1">
        <v>2</v>
      </c>
      <c r="F1139" s="1">
        <v>1.5</v>
      </c>
      <c r="G1139" s="1">
        <v>1</v>
      </c>
      <c r="H1139" s="5">
        <v>1.1599999999999999</v>
      </c>
      <c r="I1139" s="5">
        <v>1.0023228093768146</v>
      </c>
      <c r="J1139" s="3">
        <v>23468</v>
      </c>
      <c r="K1139">
        <v>0.92105263157894723</v>
      </c>
      <c r="L1139">
        <v>2.2071307300509337</v>
      </c>
      <c r="M1139">
        <v>26.3</v>
      </c>
    </row>
    <row r="1140" spans="1:15" x14ac:dyDescent="0.25">
      <c r="A1140" s="8" t="s">
        <v>241</v>
      </c>
      <c r="B1140" s="1" t="s">
        <v>236</v>
      </c>
      <c r="C1140" s="1">
        <v>2015</v>
      </c>
      <c r="D1140" s="1">
        <v>1</v>
      </c>
      <c r="E1140" s="1">
        <v>2</v>
      </c>
      <c r="F1140" s="1">
        <v>1.5</v>
      </c>
      <c r="G1140" s="1">
        <v>1</v>
      </c>
      <c r="H1140" s="5">
        <v>2.2999999999999998</v>
      </c>
      <c r="I1140" s="5">
        <v>1.0081048658454517</v>
      </c>
      <c r="J1140" s="3">
        <v>23829</v>
      </c>
      <c r="K1140">
        <v>0.92105263157894723</v>
      </c>
      <c r="L1140">
        <v>2.2071307300509337</v>
      </c>
      <c r="M1140">
        <v>26.7</v>
      </c>
    </row>
    <row r="1141" spans="1:15" x14ac:dyDescent="0.25">
      <c r="A1141" t="s">
        <v>241</v>
      </c>
      <c r="B1141" s="1" t="s">
        <v>236</v>
      </c>
      <c r="C1141" s="1">
        <v>2016</v>
      </c>
      <c r="D1141" s="1">
        <v>1</v>
      </c>
      <c r="E1141" s="1">
        <v>2</v>
      </c>
      <c r="F1141" s="1">
        <v>1.5</v>
      </c>
      <c r="G1141" s="1">
        <v>1</v>
      </c>
      <c r="H1141" s="2">
        <v>0.36</v>
      </c>
      <c r="I1141" s="2">
        <v>1.0328436116242925</v>
      </c>
      <c r="J1141" s="6">
        <v>23560</v>
      </c>
      <c r="K1141" s="7">
        <v>0.92105263157894723</v>
      </c>
      <c r="L1141" s="7">
        <v>2.2071307300509337</v>
      </c>
      <c r="M1141">
        <v>27.1</v>
      </c>
      <c r="O1141" s="7"/>
    </row>
    <row r="1142" spans="1:15" x14ac:dyDescent="0.25">
      <c r="A1142" t="s">
        <v>241</v>
      </c>
      <c r="B1142" s="1" t="s">
        <v>236</v>
      </c>
      <c r="C1142" s="1">
        <v>2017</v>
      </c>
      <c r="D1142" s="1">
        <v>1</v>
      </c>
      <c r="E1142" s="1">
        <v>2</v>
      </c>
      <c r="F1142" s="1">
        <v>1.5</v>
      </c>
      <c r="G1142" s="1">
        <v>1</v>
      </c>
      <c r="H1142" s="5"/>
      <c r="I1142" s="2">
        <v>1.0834691135694481</v>
      </c>
      <c r="J1142" s="3">
        <v>24478</v>
      </c>
      <c r="K1142">
        <v>0.92105263157894723</v>
      </c>
      <c r="L1142">
        <v>2.2071307300509337</v>
      </c>
      <c r="M1142">
        <v>27.4</v>
      </c>
    </row>
    <row r="1143" spans="1:15" x14ac:dyDescent="0.25">
      <c r="A1143" s="8" t="s">
        <v>241</v>
      </c>
      <c r="B1143" s="1" t="s">
        <v>236</v>
      </c>
      <c r="C1143" s="1">
        <v>2018</v>
      </c>
      <c r="D1143" s="1">
        <v>1</v>
      </c>
      <c r="E1143" s="1">
        <v>2</v>
      </c>
      <c r="F1143" s="1">
        <v>1.5</v>
      </c>
      <c r="G1143" s="1">
        <v>1</v>
      </c>
      <c r="I1143" s="2">
        <v>1.0623841535950425</v>
      </c>
      <c r="J1143" s="3">
        <v>24808</v>
      </c>
      <c r="K1143">
        <v>0.92105263157894723</v>
      </c>
      <c r="L1143">
        <v>2.2071307300509337</v>
      </c>
      <c r="M1143">
        <v>27.8</v>
      </c>
    </row>
    <row r="1144" spans="1:15" x14ac:dyDescent="0.25">
      <c r="A1144" s="8" t="s">
        <v>242</v>
      </c>
      <c r="B1144" s="1" t="s">
        <v>236</v>
      </c>
      <c r="C1144" s="1">
        <v>2014</v>
      </c>
      <c r="D1144" s="1">
        <v>3</v>
      </c>
      <c r="E1144" s="1">
        <v>3</v>
      </c>
      <c r="F1144" s="1">
        <v>3</v>
      </c>
      <c r="G1144" s="1">
        <v>0</v>
      </c>
      <c r="H1144" s="5">
        <v>0.64</v>
      </c>
      <c r="I1144" s="5">
        <v>0.85698468352094481</v>
      </c>
      <c r="J1144" s="3">
        <v>2521</v>
      </c>
      <c r="K1144">
        <v>1.9276160503540518</v>
      </c>
      <c r="L1144">
        <v>0.59008654602675059</v>
      </c>
      <c r="M1144">
        <v>1.6</v>
      </c>
    </row>
    <row r="1145" spans="1:15" x14ac:dyDescent="0.25">
      <c r="A1145" s="8" t="s">
        <v>242</v>
      </c>
      <c r="B1145" s="1" t="s">
        <v>236</v>
      </c>
      <c r="C1145" s="1">
        <v>2015</v>
      </c>
      <c r="D1145" s="1">
        <v>3</v>
      </c>
      <c r="E1145" s="1">
        <v>3</v>
      </c>
      <c r="F1145" s="1">
        <v>3</v>
      </c>
      <c r="G1145" s="1">
        <v>0</v>
      </c>
      <c r="H1145" s="5">
        <v>0.52</v>
      </c>
      <c r="I1145" s="5">
        <v>0.83280334728033467</v>
      </c>
      <c r="J1145" s="3">
        <v>2542</v>
      </c>
      <c r="K1145">
        <v>1.9276160503540518</v>
      </c>
      <c r="L1145">
        <v>0.59008654602675059</v>
      </c>
      <c r="M1145">
        <v>1.6</v>
      </c>
    </row>
    <row r="1146" spans="1:15" x14ac:dyDescent="0.25">
      <c r="A1146" t="s">
        <v>242</v>
      </c>
      <c r="B1146" s="1" t="s">
        <v>236</v>
      </c>
      <c r="C1146" s="1">
        <v>2016</v>
      </c>
      <c r="D1146" s="1">
        <v>3</v>
      </c>
      <c r="E1146" s="1">
        <v>3</v>
      </c>
      <c r="F1146" s="1">
        <v>3</v>
      </c>
      <c r="G1146" s="1">
        <v>0</v>
      </c>
      <c r="H1146" s="2">
        <v>0.77</v>
      </c>
      <c r="I1146" s="2">
        <v>1.0022306108442005</v>
      </c>
      <c r="J1146" s="6">
        <v>2542</v>
      </c>
      <c r="K1146" s="7">
        <v>1.9276160503540518</v>
      </c>
      <c r="L1146" s="7">
        <v>0.59008654602675059</v>
      </c>
      <c r="M1146">
        <v>1.6</v>
      </c>
      <c r="O1146" s="7"/>
    </row>
    <row r="1147" spans="1:15" x14ac:dyDescent="0.25">
      <c r="A1147" t="s">
        <v>242</v>
      </c>
      <c r="B1147" s="1" t="s">
        <v>236</v>
      </c>
      <c r="C1147" s="1">
        <v>2017</v>
      </c>
      <c r="D1147" s="1">
        <v>3</v>
      </c>
      <c r="E1147" s="1">
        <v>3</v>
      </c>
      <c r="F1147" s="1">
        <v>3</v>
      </c>
      <c r="G1147" s="1">
        <v>0</v>
      </c>
      <c r="H1147" s="5">
        <v>0.41</v>
      </c>
      <c r="I1147" s="2">
        <v>1.0740299523485364</v>
      </c>
      <c r="J1147" s="3">
        <v>2568</v>
      </c>
      <c r="K1147">
        <v>1.9276160503540518</v>
      </c>
      <c r="L1147">
        <v>0.59008654602675059</v>
      </c>
      <c r="M1147">
        <v>1.6</v>
      </c>
    </row>
    <row r="1148" spans="1:15" x14ac:dyDescent="0.25">
      <c r="A1148" s="8" t="s">
        <v>242</v>
      </c>
      <c r="B1148" s="1" t="s">
        <v>236</v>
      </c>
      <c r="C1148" s="1">
        <v>2018</v>
      </c>
      <c r="D1148" s="1">
        <v>3</v>
      </c>
      <c r="E1148" s="1">
        <v>3</v>
      </c>
      <c r="F1148" s="1">
        <v>3</v>
      </c>
      <c r="G1148" s="1">
        <v>0</v>
      </c>
      <c r="H1148" s="5">
        <v>0.36</v>
      </c>
      <c r="I1148" s="2">
        <v>1.035456225844396</v>
      </c>
      <c r="J1148" s="3">
        <v>2551</v>
      </c>
      <c r="K1148">
        <v>1.9276160503540518</v>
      </c>
      <c r="L1148">
        <v>0.59008654602675059</v>
      </c>
      <c r="M1148">
        <v>1.6</v>
      </c>
    </row>
    <row r="1149" spans="1:15" x14ac:dyDescent="0.25">
      <c r="A1149" s="8" t="s">
        <v>243</v>
      </c>
      <c r="B1149" s="1" t="s">
        <v>236</v>
      </c>
      <c r="C1149" s="1">
        <v>2014</v>
      </c>
      <c r="D1149" s="1">
        <v>3</v>
      </c>
      <c r="E1149" s="1">
        <v>3</v>
      </c>
      <c r="F1149" s="1">
        <v>3</v>
      </c>
      <c r="G1149" s="1">
        <v>0</v>
      </c>
      <c r="H1149" s="5">
        <v>0.48</v>
      </c>
      <c r="I1149" s="5">
        <v>1.0341330858960764</v>
      </c>
      <c r="J1149" s="3">
        <v>10847</v>
      </c>
      <c r="K1149">
        <v>4.4096728307254622</v>
      </c>
      <c r="L1149">
        <v>8.9521100047415842</v>
      </c>
      <c r="M1149">
        <v>22.8</v>
      </c>
    </row>
    <row r="1150" spans="1:15" x14ac:dyDescent="0.25">
      <c r="A1150" s="8" t="s">
        <v>243</v>
      </c>
      <c r="B1150" s="1" t="s">
        <v>236</v>
      </c>
      <c r="C1150" s="1">
        <v>2015</v>
      </c>
      <c r="D1150" s="1">
        <v>3</v>
      </c>
      <c r="E1150" s="1">
        <v>3</v>
      </c>
      <c r="F1150" s="1">
        <v>3</v>
      </c>
      <c r="G1150" s="1">
        <v>0</v>
      </c>
      <c r="H1150" s="5">
        <v>0.54</v>
      </c>
      <c r="I1150" s="5">
        <v>1.0860472860472861</v>
      </c>
      <c r="J1150" s="3">
        <v>10854</v>
      </c>
      <c r="K1150">
        <v>4.4096728307254622</v>
      </c>
      <c r="L1150">
        <v>8.9521100047415842</v>
      </c>
      <c r="M1150">
        <v>22.8</v>
      </c>
    </row>
    <row r="1151" spans="1:15" x14ac:dyDescent="0.25">
      <c r="A1151" t="s">
        <v>243</v>
      </c>
      <c r="B1151" s="1" t="s">
        <v>236</v>
      </c>
      <c r="C1151" s="1">
        <v>2016</v>
      </c>
      <c r="D1151" s="1">
        <v>3</v>
      </c>
      <c r="E1151" s="1">
        <v>3</v>
      </c>
      <c r="F1151" s="1">
        <v>3</v>
      </c>
      <c r="G1151" s="1">
        <v>0</v>
      </c>
      <c r="H1151" s="2">
        <v>0.36</v>
      </c>
      <c r="I1151" s="2">
        <v>1.0551670043793713</v>
      </c>
      <c r="J1151" s="6">
        <v>10545</v>
      </c>
      <c r="K1151" s="7">
        <v>4.4096728307254622</v>
      </c>
      <c r="L1151" s="7">
        <v>8.9521100047415842</v>
      </c>
      <c r="M1151">
        <v>22.8</v>
      </c>
      <c r="O1151" s="7"/>
    </row>
    <row r="1152" spans="1:15" x14ac:dyDescent="0.25">
      <c r="A1152" t="s">
        <v>243</v>
      </c>
      <c r="B1152" s="1" t="s">
        <v>236</v>
      </c>
      <c r="C1152" s="1">
        <v>2017</v>
      </c>
      <c r="D1152" s="1">
        <v>3</v>
      </c>
      <c r="E1152" s="1">
        <v>3</v>
      </c>
      <c r="F1152" s="1">
        <v>3</v>
      </c>
      <c r="G1152" s="1">
        <v>0</v>
      </c>
      <c r="H1152" s="5">
        <v>0.73</v>
      </c>
      <c r="I1152" s="2">
        <v>1.164796679421493</v>
      </c>
      <c r="J1152" s="3">
        <v>10841</v>
      </c>
      <c r="K1152">
        <v>4.4096728307254622</v>
      </c>
      <c r="L1152">
        <v>8.9521100047415842</v>
      </c>
      <c r="M1152">
        <v>22.8</v>
      </c>
    </row>
    <row r="1153" spans="1:15" x14ac:dyDescent="0.25">
      <c r="A1153" s="8" t="s">
        <v>243</v>
      </c>
      <c r="B1153" s="1" t="s">
        <v>236</v>
      </c>
      <c r="C1153" s="1">
        <v>2018</v>
      </c>
      <c r="D1153" s="1">
        <v>3</v>
      </c>
      <c r="E1153" s="1">
        <v>3</v>
      </c>
      <c r="F1153" s="1">
        <v>3</v>
      </c>
      <c r="G1153" s="1">
        <v>0</v>
      </c>
      <c r="H1153" s="5">
        <v>0.78</v>
      </c>
      <c r="I1153" s="2">
        <v>1.038655148840967</v>
      </c>
      <c r="J1153" s="3">
        <v>10853</v>
      </c>
      <c r="K1153">
        <v>4.4096728307254622</v>
      </c>
      <c r="L1153">
        <v>8.9521100047415842</v>
      </c>
      <c r="M1153">
        <v>22.8</v>
      </c>
    </row>
    <row r="1154" spans="1:15" x14ac:dyDescent="0.25">
      <c r="A1154" s="8" t="s">
        <v>244</v>
      </c>
      <c r="B1154" s="1" t="s">
        <v>236</v>
      </c>
      <c r="C1154" s="1">
        <v>2014</v>
      </c>
      <c r="D1154" s="1">
        <v>1</v>
      </c>
      <c r="E1154" s="1">
        <v>1</v>
      </c>
      <c r="F1154" s="1">
        <v>1</v>
      </c>
      <c r="G1154" s="1">
        <v>0</v>
      </c>
      <c r="H1154" s="5">
        <v>0.9</v>
      </c>
      <c r="I1154" s="5">
        <v>0.97792249438812007</v>
      </c>
      <c r="J1154" s="3">
        <v>44678</v>
      </c>
      <c r="K1154">
        <v>0.34159227546001092</v>
      </c>
      <c r="L1154">
        <v>24.100473674621973</v>
      </c>
      <c r="M1154">
        <v>1623.6</v>
      </c>
    </row>
    <row r="1155" spans="1:15" x14ac:dyDescent="0.25">
      <c r="A1155" s="8" t="s">
        <v>244</v>
      </c>
      <c r="B1155" s="1" t="s">
        <v>236</v>
      </c>
      <c r="C1155" s="1">
        <v>2015</v>
      </c>
      <c r="D1155" s="1">
        <v>1</v>
      </c>
      <c r="E1155" s="1">
        <v>1</v>
      </c>
      <c r="F1155" s="1">
        <v>1</v>
      </c>
      <c r="G1155" s="1">
        <v>0</v>
      </c>
      <c r="H1155" s="5">
        <v>1.27</v>
      </c>
      <c r="I1155" s="5">
        <v>1.0275900357246306</v>
      </c>
      <c r="J1155" s="3">
        <v>44938</v>
      </c>
      <c r="K1155">
        <v>0.34159227546001092</v>
      </c>
      <c r="L1155">
        <v>24.100473674621973</v>
      </c>
      <c r="M1155">
        <v>1633</v>
      </c>
    </row>
    <row r="1156" spans="1:15" x14ac:dyDescent="0.25">
      <c r="A1156" t="s">
        <v>244</v>
      </c>
      <c r="B1156" s="1" t="s">
        <v>236</v>
      </c>
      <c r="C1156" s="1">
        <v>2016</v>
      </c>
      <c r="D1156" s="1">
        <v>1</v>
      </c>
      <c r="E1156" s="1">
        <v>1</v>
      </c>
      <c r="F1156" s="1">
        <v>1</v>
      </c>
      <c r="G1156" s="1">
        <v>0</v>
      </c>
      <c r="H1156" s="2">
        <v>0.91</v>
      </c>
      <c r="I1156" s="2">
        <v>1.0318965313408839</v>
      </c>
      <c r="J1156" s="6">
        <v>43912</v>
      </c>
      <c r="K1156" s="7">
        <v>0.34159227546001092</v>
      </c>
      <c r="L1156" s="7">
        <v>24.100473674621973</v>
      </c>
      <c r="M1156">
        <v>1643.1</v>
      </c>
      <c r="O1156" s="7"/>
    </row>
    <row r="1157" spans="1:15" x14ac:dyDescent="0.25">
      <c r="A1157" t="s">
        <v>244</v>
      </c>
      <c r="B1157" s="1" t="s">
        <v>236</v>
      </c>
      <c r="C1157" s="1">
        <v>2017</v>
      </c>
      <c r="D1157" s="1">
        <v>1</v>
      </c>
      <c r="E1157" s="1">
        <v>1</v>
      </c>
      <c r="F1157" s="1">
        <v>1</v>
      </c>
      <c r="G1157" s="1">
        <v>0</v>
      </c>
      <c r="H1157" s="5">
        <v>1.05</v>
      </c>
      <c r="I1157" s="2">
        <v>1.0444944237056273</v>
      </c>
      <c r="J1157" s="3">
        <v>45510</v>
      </c>
      <c r="K1157">
        <v>0.34159227546001092</v>
      </c>
      <c r="L1157">
        <v>24.100473674621973</v>
      </c>
      <c r="M1157">
        <v>1653.8</v>
      </c>
    </row>
    <row r="1158" spans="1:15" x14ac:dyDescent="0.25">
      <c r="A1158" s="8" t="s">
        <v>244</v>
      </c>
      <c r="B1158" s="1" t="s">
        <v>236</v>
      </c>
      <c r="C1158" s="1">
        <v>2018</v>
      </c>
      <c r="D1158" s="1">
        <v>1</v>
      </c>
      <c r="E1158" s="1">
        <v>1</v>
      </c>
      <c r="F1158" s="1">
        <v>1</v>
      </c>
      <c r="G1158" s="1">
        <v>0</v>
      </c>
      <c r="H1158" s="2">
        <f>8731/9782</f>
        <v>0.89255775914945823</v>
      </c>
      <c r="I1158" s="2">
        <v>1.036701792308385</v>
      </c>
      <c r="J1158" s="3">
        <v>45706</v>
      </c>
      <c r="K1158">
        <v>0.34159227546001092</v>
      </c>
      <c r="L1158">
        <v>24.100473674621973</v>
      </c>
      <c r="M1158">
        <v>1660.9</v>
      </c>
    </row>
    <row r="1159" spans="1:15" x14ac:dyDescent="0.25">
      <c r="A1159" s="8" t="s">
        <v>245</v>
      </c>
      <c r="B1159" s="1" t="s">
        <v>236</v>
      </c>
      <c r="C1159" s="1">
        <v>2014</v>
      </c>
      <c r="D1159" s="1">
        <v>1</v>
      </c>
      <c r="E1159" s="1">
        <v>1</v>
      </c>
      <c r="F1159" s="1">
        <v>1</v>
      </c>
      <c r="G1159" s="1">
        <v>0</v>
      </c>
      <c r="H1159" s="5">
        <v>1.33</v>
      </c>
      <c r="I1159" s="5">
        <v>1.0496289424860854</v>
      </c>
      <c r="J1159" s="3">
        <v>50717</v>
      </c>
      <c r="K1159">
        <v>0.56021850515361149</v>
      </c>
      <c r="L1159">
        <v>34.639845291971533</v>
      </c>
      <c r="M1159">
        <v>2083</v>
      </c>
    </row>
    <row r="1160" spans="1:15" x14ac:dyDescent="0.25">
      <c r="A1160" s="8" t="s">
        <v>245</v>
      </c>
      <c r="B1160" s="1" t="s">
        <v>236</v>
      </c>
      <c r="C1160" s="1">
        <v>2015</v>
      </c>
      <c r="D1160" s="1">
        <v>1</v>
      </c>
      <c r="E1160" s="1">
        <v>1</v>
      </c>
      <c r="F1160" s="1">
        <v>1</v>
      </c>
      <c r="G1160" s="1">
        <v>0</v>
      </c>
      <c r="H1160" s="5">
        <v>2</v>
      </c>
      <c r="I1160" s="5">
        <v>1.1202453987730061</v>
      </c>
      <c r="J1160" s="3">
        <v>50937</v>
      </c>
      <c r="K1160">
        <v>0.56021850515361149</v>
      </c>
      <c r="L1160">
        <v>34.639845291971533</v>
      </c>
      <c r="M1160">
        <v>2092</v>
      </c>
    </row>
    <row r="1161" spans="1:15" x14ac:dyDescent="0.25">
      <c r="A1161" t="s">
        <v>245</v>
      </c>
      <c r="B1161" s="1" t="s">
        <v>236</v>
      </c>
      <c r="C1161" s="1">
        <v>2016</v>
      </c>
      <c r="D1161" s="1">
        <v>1</v>
      </c>
      <c r="E1161" s="1">
        <v>1</v>
      </c>
      <c r="F1161" s="1">
        <v>1</v>
      </c>
      <c r="G1161" s="1">
        <v>0</v>
      </c>
      <c r="H1161" s="2">
        <v>4.1900000000000004</v>
      </c>
      <c r="I1161" s="2">
        <v>1.1314782331366608</v>
      </c>
      <c r="J1161" s="6">
        <v>50159</v>
      </c>
      <c r="K1161" s="7">
        <v>0.56021850515361149</v>
      </c>
      <c r="L1161" s="7">
        <v>34.639845291971533</v>
      </c>
      <c r="M1161">
        <v>2097.9</v>
      </c>
      <c r="O1161" s="7"/>
    </row>
    <row r="1162" spans="1:15" x14ac:dyDescent="0.25">
      <c r="A1162" t="s">
        <v>245</v>
      </c>
      <c r="B1162" s="1" t="s">
        <v>236</v>
      </c>
      <c r="C1162" s="1">
        <v>2017</v>
      </c>
      <c r="D1162" s="1">
        <v>1</v>
      </c>
      <c r="E1162" s="1">
        <v>1</v>
      </c>
      <c r="F1162" s="1">
        <v>1</v>
      </c>
      <c r="G1162" s="1">
        <v>0</v>
      </c>
      <c r="H1162" s="5">
        <v>0.7</v>
      </c>
      <c r="I1162" s="2">
        <v>1.1134501832100263</v>
      </c>
      <c r="J1162" s="3">
        <v>51178</v>
      </c>
      <c r="K1162">
        <v>0.56021850515361149</v>
      </c>
      <c r="L1162">
        <v>34.639845291971533</v>
      </c>
      <c r="M1162">
        <v>2101.9</v>
      </c>
    </row>
    <row r="1163" spans="1:15" x14ac:dyDescent="0.25">
      <c r="A1163" s="8" t="s">
        <v>245</v>
      </c>
      <c r="B1163" s="1" t="s">
        <v>236</v>
      </c>
      <c r="C1163" s="1">
        <v>2018</v>
      </c>
      <c r="D1163" s="1">
        <v>1</v>
      </c>
      <c r="E1163" s="1">
        <v>1</v>
      </c>
      <c r="F1163" s="1">
        <v>1</v>
      </c>
      <c r="G1163" s="1">
        <v>0</v>
      </c>
      <c r="H1163" s="5">
        <v>1.89</v>
      </c>
      <c r="I1163" s="2">
        <v>1.1420155738629951</v>
      </c>
      <c r="J1163" s="3">
        <v>51469</v>
      </c>
      <c r="K1163">
        <v>0.56021850515361149</v>
      </c>
      <c r="L1163">
        <v>34.639845291971533</v>
      </c>
      <c r="M1163">
        <v>2113.8000000000002</v>
      </c>
    </row>
    <row r="1164" spans="1:15" x14ac:dyDescent="0.25">
      <c r="A1164" s="8" t="s">
        <v>246</v>
      </c>
      <c r="B1164" s="1" t="s">
        <v>236</v>
      </c>
      <c r="C1164" s="1">
        <v>2014</v>
      </c>
      <c r="D1164" s="1">
        <v>5</v>
      </c>
      <c r="E1164" s="1">
        <v>5</v>
      </c>
      <c r="F1164" s="1">
        <v>5</v>
      </c>
      <c r="G1164" s="1">
        <v>0</v>
      </c>
      <c r="H1164" s="5">
        <v>0.34</v>
      </c>
      <c r="I1164" s="5">
        <v>0.89005746503306948</v>
      </c>
      <c r="J1164" s="3">
        <v>3577</v>
      </c>
      <c r="K1164">
        <v>21.667645331767467</v>
      </c>
      <c r="L1164">
        <v>6.8115091015854379</v>
      </c>
      <c r="M1164">
        <v>0.7</v>
      </c>
    </row>
    <row r="1165" spans="1:15" x14ac:dyDescent="0.25">
      <c r="A1165" s="8" t="s">
        <v>246</v>
      </c>
      <c r="B1165" s="1" t="s">
        <v>236</v>
      </c>
      <c r="C1165" s="1">
        <v>2015</v>
      </c>
      <c r="D1165" s="1">
        <v>5</v>
      </c>
      <c r="E1165" s="1">
        <v>5</v>
      </c>
      <c r="F1165" s="1">
        <v>5</v>
      </c>
      <c r="G1165" s="1">
        <v>0</v>
      </c>
      <c r="H1165" s="5">
        <v>0.59</v>
      </c>
      <c r="I1165" s="5">
        <v>1.1122563526890499</v>
      </c>
      <c r="J1165" s="3">
        <v>3574</v>
      </c>
      <c r="K1165">
        <v>21.667645331767467</v>
      </c>
      <c r="L1165">
        <v>6.8115091015854379</v>
      </c>
      <c r="M1165">
        <v>0.7</v>
      </c>
    </row>
    <row r="1166" spans="1:15" x14ac:dyDescent="0.25">
      <c r="A1166" t="s">
        <v>246</v>
      </c>
      <c r="B1166" s="1" t="s">
        <v>236</v>
      </c>
      <c r="C1166" s="1">
        <v>2016</v>
      </c>
      <c r="D1166" s="1">
        <v>5</v>
      </c>
      <c r="E1166" s="1">
        <v>5</v>
      </c>
      <c r="F1166" s="1">
        <v>5</v>
      </c>
      <c r="G1166" s="1">
        <v>0</v>
      </c>
      <c r="H1166" s="5">
        <v>0.78</v>
      </c>
      <c r="I1166" s="2">
        <v>0.86451948051948047</v>
      </c>
      <c r="J1166" s="6">
        <v>3406</v>
      </c>
      <c r="K1166" s="7">
        <v>21.667645331767467</v>
      </c>
      <c r="L1166" s="7">
        <v>6.8115091015854379</v>
      </c>
      <c r="M1166">
        <v>0.7</v>
      </c>
      <c r="O1166" s="7"/>
    </row>
    <row r="1167" spans="1:15" x14ac:dyDescent="0.25">
      <c r="A1167" t="s">
        <v>246</v>
      </c>
      <c r="B1167" s="1" t="s">
        <v>236</v>
      </c>
      <c r="C1167" s="1">
        <v>2017</v>
      </c>
      <c r="D1167" s="1">
        <v>5</v>
      </c>
      <c r="E1167" s="1">
        <v>5</v>
      </c>
      <c r="F1167" s="1">
        <v>5</v>
      </c>
      <c r="G1167" s="1">
        <v>0</v>
      </c>
      <c r="H1167" s="5">
        <v>0.74</v>
      </c>
      <c r="I1167" s="2">
        <v>1.1622431506849316</v>
      </c>
      <c r="J1167" s="3">
        <v>3549</v>
      </c>
      <c r="K1167">
        <v>21.667645331767467</v>
      </c>
      <c r="L1167">
        <v>6.8115091015854379</v>
      </c>
      <c r="M1167">
        <v>0.7</v>
      </c>
    </row>
    <row r="1168" spans="1:15" x14ac:dyDescent="0.25">
      <c r="A1168" s="8" t="s">
        <v>246</v>
      </c>
      <c r="B1168" s="1" t="s">
        <v>236</v>
      </c>
      <c r="C1168" s="1">
        <v>2018</v>
      </c>
      <c r="D1168" s="1">
        <v>5</v>
      </c>
      <c r="E1168" s="1">
        <v>5</v>
      </c>
      <c r="F1168" s="1">
        <v>5</v>
      </c>
      <c r="G1168" s="1">
        <v>0</v>
      </c>
      <c r="H1168" s="5">
        <v>1.1399999999999999</v>
      </c>
      <c r="I1168" s="2">
        <v>1.1153924984627999</v>
      </c>
      <c r="J1168" s="3">
        <v>3466</v>
      </c>
      <c r="K1168">
        <v>21.667645331767467</v>
      </c>
      <c r="L1168">
        <v>6.8115091015854379</v>
      </c>
      <c r="M1168">
        <v>0.6</v>
      </c>
    </row>
    <row r="1169" spans="1:15" x14ac:dyDescent="0.25">
      <c r="A1169" s="8" t="s">
        <v>247</v>
      </c>
      <c r="B1169" s="1" t="s">
        <v>236</v>
      </c>
      <c r="C1169" s="1">
        <v>2014</v>
      </c>
      <c r="D1169" s="1">
        <v>1</v>
      </c>
      <c r="E1169" s="1">
        <v>1</v>
      </c>
      <c r="F1169" s="1">
        <v>1</v>
      </c>
      <c r="G1169" s="1">
        <v>0</v>
      </c>
      <c r="H1169" s="5">
        <v>0.62</v>
      </c>
      <c r="I1169" s="5">
        <v>1.0407433953502458</v>
      </c>
      <c r="J1169" s="3">
        <v>112846</v>
      </c>
      <c r="K1169">
        <v>1.4047834217660902</v>
      </c>
      <c r="L1169">
        <v>27.28769427617863</v>
      </c>
      <c r="M1169">
        <v>2059.6999999999998</v>
      </c>
    </row>
    <row r="1170" spans="1:15" x14ac:dyDescent="0.25">
      <c r="A1170" s="8" t="s">
        <v>247</v>
      </c>
      <c r="B1170" s="1" t="s">
        <v>236</v>
      </c>
      <c r="C1170" s="1">
        <v>2015</v>
      </c>
      <c r="D1170" s="1">
        <v>1</v>
      </c>
      <c r="E1170" s="1">
        <v>1</v>
      </c>
      <c r="F1170" s="1">
        <v>1</v>
      </c>
      <c r="G1170" s="1">
        <v>0</v>
      </c>
      <c r="H1170" s="5">
        <v>0.96</v>
      </c>
      <c r="I1170" s="5">
        <v>1.0692873932347338</v>
      </c>
      <c r="J1170" s="3">
        <v>114125</v>
      </c>
      <c r="K1170">
        <v>1.4047834217660902</v>
      </c>
      <c r="L1170">
        <v>27.28769427617863</v>
      </c>
      <c r="M1170">
        <v>2083</v>
      </c>
    </row>
    <row r="1171" spans="1:15" x14ac:dyDescent="0.25">
      <c r="A1171" t="s">
        <v>247</v>
      </c>
      <c r="B1171" s="1" t="s">
        <v>236</v>
      </c>
      <c r="C1171" s="1">
        <v>2016</v>
      </c>
      <c r="D1171" s="1">
        <v>1</v>
      </c>
      <c r="E1171" s="1">
        <v>1</v>
      </c>
      <c r="F1171" s="1">
        <v>1</v>
      </c>
      <c r="G1171" s="1">
        <v>0</v>
      </c>
      <c r="H1171" s="2">
        <v>0.82</v>
      </c>
      <c r="I1171" s="2">
        <v>1.0506154162230814</v>
      </c>
      <c r="J1171" s="6">
        <v>111761</v>
      </c>
      <c r="K1171" s="7">
        <v>1.4047834217660902</v>
      </c>
      <c r="L1171" s="7">
        <v>27.28769427617863</v>
      </c>
      <c r="M1171">
        <v>2098.6999999999998</v>
      </c>
      <c r="O1171" s="7"/>
    </row>
    <row r="1172" spans="1:15" x14ac:dyDescent="0.25">
      <c r="A1172" t="s">
        <v>247</v>
      </c>
      <c r="B1172" s="1" t="s">
        <v>236</v>
      </c>
      <c r="C1172" s="1">
        <v>2017</v>
      </c>
      <c r="D1172" s="1">
        <v>1</v>
      </c>
      <c r="E1172" s="1">
        <v>1</v>
      </c>
      <c r="F1172" s="1">
        <v>1</v>
      </c>
      <c r="G1172" s="1">
        <v>0</v>
      </c>
      <c r="H1172" s="5">
        <v>1.01</v>
      </c>
      <c r="I1172" s="2">
        <v>1.0741380838429495</v>
      </c>
      <c r="J1172" s="3">
        <v>116029</v>
      </c>
      <c r="K1172">
        <v>1.4047834217660902</v>
      </c>
      <c r="L1172">
        <v>27.28769427617863</v>
      </c>
      <c r="M1172">
        <v>2117.8000000000002</v>
      </c>
    </row>
    <row r="1173" spans="1:15" x14ac:dyDescent="0.25">
      <c r="A1173" s="8" t="s">
        <v>247</v>
      </c>
      <c r="B1173" s="1" t="s">
        <v>236</v>
      </c>
      <c r="C1173" s="1">
        <v>2018</v>
      </c>
      <c r="D1173" s="1">
        <v>1</v>
      </c>
      <c r="E1173" s="1">
        <v>1</v>
      </c>
      <c r="F1173" s="1">
        <v>1</v>
      </c>
      <c r="G1173" s="1">
        <v>0</v>
      </c>
      <c r="H1173" s="5">
        <v>2.0099999999999998</v>
      </c>
      <c r="I1173" s="2">
        <v>1.0941248577182383</v>
      </c>
      <c r="J1173" s="3">
        <v>117382</v>
      </c>
      <c r="K1173">
        <v>1.4047834217660902</v>
      </c>
      <c r="L1173">
        <v>27.28769427617863</v>
      </c>
      <c r="M1173">
        <v>2142.5</v>
      </c>
    </row>
    <row r="1174" spans="1:15" x14ac:dyDescent="0.25">
      <c r="A1174" s="8" t="s">
        <v>248</v>
      </c>
      <c r="B1174" s="1" t="s">
        <v>236</v>
      </c>
      <c r="C1174" s="1">
        <v>2014</v>
      </c>
      <c r="D1174" s="1">
        <v>2</v>
      </c>
      <c r="E1174" s="1">
        <v>3</v>
      </c>
      <c r="F1174" s="1">
        <v>2.5</v>
      </c>
      <c r="G1174" s="1">
        <v>1</v>
      </c>
      <c r="H1174" s="5">
        <v>0.97</v>
      </c>
      <c r="I1174" s="5">
        <v>1.0249061079264676</v>
      </c>
      <c r="J1174" s="3">
        <v>9138</v>
      </c>
      <c r="K1174">
        <v>1.2415475002771312</v>
      </c>
      <c r="L1174">
        <v>2.316816317481432</v>
      </c>
      <c r="M1174">
        <v>4.8</v>
      </c>
    </row>
    <row r="1175" spans="1:15" x14ac:dyDescent="0.25">
      <c r="A1175" s="8" t="s">
        <v>248</v>
      </c>
      <c r="B1175" s="1" t="s">
        <v>236</v>
      </c>
      <c r="C1175" s="1">
        <v>2015</v>
      </c>
      <c r="D1175" s="1">
        <v>2</v>
      </c>
      <c r="E1175" s="1">
        <v>3</v>
      </c>
      <c r="F1175" s="1">
        <v>2.5</v>
      </c>
      <c r="G1175" s="1">
        <v>1</v>
      </c>
      <c r="H1175" s="5">
        <v>0.66</v>
      </c>
      <c r="I1175" s="5">
        <v>0.99897939656822099</v>
      </c>
      <c r="J1175" s="3">
        <v>9204</v>
      </c>
      <c r="K1175">
        <v>1.2415475002771312</v>
      </c>
      <c r="L1175">
        <v>2.316816317481432</v>
      </c>
      <c r="M1175">
        <v>4.9000000000000004</v>
      </c>
    </row>
    <row r="1176" spans="1:15" x14ac:dyDescent="0.25">
      <c r="A1176" t="s">
        <v>248</v>
      </c>
      <c r="B1176" s="1" t="s">
        <v>236</v>
      </c>
      <c r="C1176" s="1">
        <v>2016</v>
      </c>
      <c r="D1176" s="1">
        <v>2</v>
      </c>
      <c r="E1176" s="1">
        <v>3</v>
      </c>
      <c r="F1176" s="1">
        <v>2.5</v>
      </c>
      <c r="G1176" s="1">
        <v>1</v>
      </c>
      <c r="H1176" s="2">
        <v>0.53</v>
      </c>
      <c r="I1176" s="2">
        <v>1.0570318887980377</v>
      </c>
      <c r="J1176" s="6">
        <v>9021</v>
      </c>
      <c r="K1176" s="7">
        <v>1.2415475002771312</v>
      </c>
      <c r="L1176" s="7">
        <v>2.316816317481432</v>
      </c>
      <c r="M1176">
        <v>4.9000000000000004</v>
      </c>
      <c r="O1176" s="7"/>
    </row>
    <row r="1177" spans="1:15" x14ac:dyDescent="0.25">
      <c r="A1177" t="s">
        <v>248</v>
      </c>
      <c r="B1177" s="1" t="s">
        <v>236</v>
      </c>
      <c r="C1177" s="1">
        <v>2017</v>
      </c>
      <c r="D1177" s="1">
        <v>2</v>
      </c>
      <c r="E1177" s="1">
        <v>3</v>
      </c>
      <c r="F1177" s="1">
        <v>2.5</v>
      </c>
      <c r="G1177" s="1">
        <v>1</v>
      </c>
      <c r="H1177" s="5">
        <v>0.64</v>
      </c>
      <c r="I1177" s="2">
        <v>0.97575482920750012</v>
      </c>
      <c r="J1177" s="3">
        <v>9317</v>
      </c>
      <c r="K1177">
        <v>1.2415475002771312</v>
      </c>
      <c r="L1177">
        <v>2.316816317481432</v>
      </c>
      <c r="M1177">
        <v>4.9000000000000004</v>
      </c>
    </row>
    <row r="1178" spans="1:15" x14ac:dyDescent="0.25">
      <c r="A1178" s="8" t="s">
        <v>248</v>
      </c>
      <c r="B1178" s="1" t="s">
        <v>236</v>
      </c>
      <c r="C1178" s="1">
        <v>2018</v>
      </c>
      <c r="D1178" s="1">
        <v>2</v>
      </c>
      <c r="E1178" s="1">
        <v>3</v>
      </c>
      <c r="F1178" s="1">
        <v>2.5</v>
      </c>
      <c r="G1178" s="1">
        <v>1</v>
      </c>
      <c r="H1178" s="5">
        <v>1.22</v>
      </c>
      <c r="I1178" s="2">
        <v>1.155772395955796</v>
      </c>
      <c r="J1178" s="3">
        <v>9379</v>
      </c>
      <c r="K1178">
        <v>1.2415475002771312</v>
      </c>
      <c r="L1178">
        <v>2.316816317481432</v>
      </c>
      <c r="M1178">
        <v>5</v>
      </c>
    </row>
    <row r="1179" spans="1:15" x14ac:dyDescent="0.25">
      <c r="A1179" s="8" t="s">
        <v>249</v>
      </c>
      <c r="B1179" s="1" t="s">
        <v>236</v>
      </c>
      <c r="C1179" s="1">
        <v>2014</v>
      </c>
      <c r="D1179" s="1">
        <v>3</v>
      </c>
      <c r="E1179" s="1">
        <v>4</v>
      </c>
      <c r="F1179" s="1">
        <v>3.5</v>
      </c>
      <c r="G1179" s="1">
        <v>1</v>
      </c>
      <c r="H1179" s="5">
        <v>0.55000000000000004</v>
      </c>
      <c r="I1179" s="5">
        <v>0.99072404019582583</v>
      </c>
      <c r="J1179" s="3">
        <v>1809</v>
      </c>
      <c r="K1179">
        <v>0.7344632768361582</v>
      </c>
      <c r="L1179">
        <v>0.84745762711864403</v>
      </c>
      <c r="M1179">
        <v>0.4</v>
      </c>
    </row>
    <row r="1180" spans="1:15" x14ac:dyDescent="0.25">
      <c r="A1180" s="8" t="s">
        <v>249</v>
      </c>
      <c r="B1180" s="1" t="s">
        <v>236</v>
      </c>
      <c r="C1180" s="1">
        <v>2015</v>
      </c>
      <c r="D1180" s="1">
        <v>3</v>
      </c>
      <c r="E1180" s="1">
        <v>4</v>
      </c>
      <c r="F1180" s="1">
        <v>3.5</v>
      </c>
      <c r="G1180" s="1">
        <v>1</v>
      </c>
      <c r="H1180" s="5">
        <v>1.06</v>
      </c>
      <c r="I1180" s="5">
        <v>1.2936160405623416</v>
      </c>
      <c r="J1180" s="3">
        <v>1803</v>
      </c>
      <c r="K1180">
        <v>0.7344632768361582</v>
      </c>
      <c r="L1180">
        <v>0.84745762711864403</v>
      </c>
      <c r="M1180">
        <v>0.4</v>
      </c>
    </row>
    <row r="1181" spans="1:15" x14ac:dyDescent="0.25">
      <c r="A1181" t="s">
        <v>249</v>
      </c>
      <c r="B1181" s="1" t="s">
        <v>236</v>
      </c>
      <c r="C1181" s="1">
        <v>2016</v>
      </c>
      <c r="D1181" s="1">
        <v>3</v>
      </c>
      <c r="E1181" s="1">
        <v>4</v>
      </c>
      <c r="F1181" s="1">
        <v>3.5</v>
      </c>
      <c r="G1181" s="1">
        <v>1</v>
      </c>
      <c r="H1181" s="2">
        <v>0.75</v>
      </c>
      <c r="I1181" s="2">
        <v>1.0532262113984434</v>
      </c>
      <c r="J1181" s="6">
        <v>1770</v>
      </c>
      <c r="K1181" s="7">
        <v>0.7344632768361582</v>
      </c>
      <c r="L1181" s="7">
        <v>0.84745762711864403</v>
      </c>
      <c r="M1181">
        <v>0.4</v>
      </c>
      <c r="O1181" s="7"/>
    </row>
    <row r="1182" spans="1:15" x14ac:dyDescent="0.25">
      <c r="A1182" t="s">
        <v>249</v>
      </c>
      <c r="B1182" s="1" t="s">
        <v>236</v>
      </c>
      <c r="C1182" s="1">
        <v>2017</v>
      </c>
      <c r="D1182" s="1">
        <v>3</v>
      </c>
      <c r="E1182" s="1">
        <v>4</v>
      </c>
      <c r="F1182" s="1">
        <v>3.5</v>
      </c>
      <c r="G1182" s="1">
        <v>1</v>
      </c>
      <c r="H1182" s="5">
        <v>1.74</v>
      </c>
      <c r="I1182" s="2">
        <v>1.5662267839687196</v>
      </c>
      <c r="J1182" s="3">
        <v>1820</v>
      </c>
      <c r="K1182">
        <v>0.7344632768361582</v>
      </c>
      <c r="L1182">
        <v>0.84745762711864403</v>
      </c>
      <c r="M1182">
        <v>0.4</v>
      </c>
    </row>
    <row r="1183" spans="1:15" x14ac:dyDescent="0.25">
      <c r="A1183" s="8" t="s">
        <v>249</v>
      </c>
      <c r="B1183" s="1" t="s">
        <v>236</v>
      </c>
      <c r="C1183" s="1">
        <v>2018</v>
      </c>
      <c r="D1183" s="1">
        <v>3</v>
      </c>
      <c r="E1183" s="1">
        <v>4</v>
      </c>
      <c r="F1183" s="1">
        <v>3.5</v>
      </c>
      <c r="G1183" s="1">
        <v>1</v>
      </c>
      <c r="H1183" s="5">
        <v>0.98</v>
      </c>
      <c r="I1183" s="2">
        <v>1.330746644295302</v>
      </c>
      <c r="J1183" s="3">
        <v>1799</v>
      </c>
      <c r="K1183">
        <v>0.7344632768361582</v>
      </c>
      <c r="L1183">
        <v>0.84745762711864403</v>
      </c>
      <c r="M1183">
        <v>0.4</v>
      </c>
    </row>
    <row r="1184" spans="1:15" x14ac:dyDescent="0.25">
      <c r="A1184" s="8" t="s">
        <v>250</v>
      </c>
      <c r="B1184" s="1" t="s">
        <v>236</v>
      </c>
      <c r="C1184" s="1">
        <v>2014</v>
      </c>
      <c r="D1184" s="1">
        <v>5</v>
      </c>
      <c r="E1184" s="1">
        <v>5</v>
      </c>
      <c r="F1184" s="1">
        <v>5</v>
      </c>
      <c r="G1184" s="1">
        <v>0</v>
      </c>
      <c r="H1184" s="5">
        <v>0.86</v>
      </c>
      <c r="I1184" s="5">
        <v>0.93276207155366531</v>
      </c>
      <c r="J1184" s="3">
        <v>1825</v>
      </c>
      <c r="K1184">
        <v>17.100792751981881</v>
      </c>
      <c r="L1184">
        <v>24.405436013590034</v>
      </c>
      <c r="M1184">
        <v>23.5</v>
      </c>
    </row>
    <row r="1185" spans="1:15" x14ac:dyDescent="0.25">
      <c r="A1185" s="8" t="s">
        <v>250</v>
      </c>
      <c r="B1185" s="1" t="s">
        <v>236</v>
      </c>
      <c r="C1185" s="1">
        <v>2015</v>
      </c>
      <c r="D1185" s="1">
        <v>5</v>
      </c>
      <c r="E1185" s="1">
        <v>5</v>
      </c>
      <c r="F1185" s="1">
        <v>5</v>
      </c>
      <c r="G1185" s="1">
        <v>0</v>
      </c>
      <c r="H1185" s="5">
        <v>0</v>
      </c>
      <c r="I1185" s="5">
        <v>0.82482216181828694</v>
      </c>
      <c r="J1185" s="3">
        <v>1822</v>
      </c>
      <c r="K1185">
        <v>17.100792751981881</v>
      </c>
      <c r="L1185">
        <v>24.405436013590034</v>
      </c>
      <c r="M1185">
        <v>23.5</v>
      </c>
    </row>
    <row r="1186" spans="1:15" x14ac:dyDescent="0.25">
      <c r="A1186" t="s">
        <v>250</v>
      </c>
      <c r="B1186" s="1" t="s">
        <v>236</v>
      </c>
      <c r="C1186" s="1">
        <v>2016</v>
      </c>
      <c r="D1186" s="1">
        <v>5</v>
      </c>
      <c r="E1186" s="1">
        <v>5</v>
      </c>
      <c r="F1186" s="1">
        <v>5</v>
      </c>
      <c r="G1186" s="1">
        <v>0</v>
      </c>
      <c r="H1186" s="5">
        <v>0.08</v>
      </c>
      <c r="I1186" s="2">
        <v>0.79637648131267091</v>
      </c>
      <c r="J1186" s="6">
        <v>1766</v>
      </c>
      <c r="K1186" s="7">
        <v>17.100792751981881</v>
      </c>
      <c r="L1186" s="7">
        <v>24.405436013590034</v>
      </c>
      <c r="M1186">
        <v>23.4</v>
      </c>
      <c r="O1186" s="7"/>
    </row>
    <row r="1187" spans="1:15" x14ac:dyDescent="0.25">
      <c r="A1187" t="s">
        <v>250</v>
      </c>
      <c r="B1187" s="1" t="s">
        <v>236</v>
      </c>
      <c r="C1187" s="1">
        <v>2017</v>
      </c>
      <c r="D1187" s="1">
        <v>5</v>
      </c>
      <c r="E1187" s="1">
        <v>5</v>
      </c>
      <c r="F1187" s="1">
        <v>5</v>
      </c>
      <c r="G1187" s="1">
        <v>0</v>
      </c>
      <c r="H1187" s="5">
        <v>0</v>
      </c>
      <c r="I1187" s="2">
        <f>14895/14949</f>
        <v>0.99638771824202288</v>
      </c>
      <c r="J1187" s="3">
        <v>1837</v>
      </c>
      <c r="K1187">
        <v>17.100792751981881</v>
      </c>
      <c r="L1187">
        <v>24.405436013590034</v>
      </c>
      <c r="M1187">
        <v>23.6</v>
      </c>
    </row>
    <row r="1188" spans="1:15" x14ac:dyDescent="0.25">
      <c r="A1188" s="8" t="s">
        <v>250</v>
      </c>
      <c r="B1188" s="1" t="s">
        <v>236</v>
      </c>
      <c r="C1188" s="1">
        <v>2018</v>
      </c>
      <c r="D1188" s="1">
        <v>5</v>
      </c>
      <c r="E1188" s="1">
        <v>5</v>
      </c>
      <c r="F1188" s="1">
        <v>5</v>
      </c>
      <c r="G1188" s="1">
        <v>0</v>
      </c>
      <c r="H1188" s="5">
        <v>0</v>
      </c>
      <c r="I1188" s="2">
        <v>0.91062266421739413</v>
      </c>
      <c r="J1188" s="3">
        <v>1845</v>
      </c>
      <c r="K1188">
        <v>17.100792751981881</v>
      </c>
      <c r="L1188">
        <v>24.405436013590034</v>
      </c>
      <c r="M1188">
        <v>23.8</v>
      </c>
    </row>
    <row r="1189" spans="1:15" x14ac:dyDescent="0.25">
      <c r="A1189" s="8" t="s">
        <v>251</v>
      </c>
      <c r="B1189" s="1" t="s">
        <v>236</v>
      </c>
      <c r="C1189" s="1">
        <v>2014</v>
      </c>
      <c r="D1189" s="9">
        <v>2</v>
      </c>
      <c r="E1189" s="9">
        <v>4</v>
      </c>
      <c r="F1189" s="9">
        <v>3</v>
      </c>
      <c r="G1189" s="1">
        <v>2</v>
      </c>
      <c r="H1189" s="5">
        <v>1.03</v>
      </c>
      <c r="I1189" s="5">
        <v>0.83473813125855489</v>
      </c>
      <c r="J1189" s="3">
        <v>5572</v>
      </c>
      <c r="K1189">
        <v>6.1084292610471591</v>
      </c>
      <c r="L1189">
        <v>3.8432974378017084</v>
      </c>
      <c r="M1189">
        <v>0.6</v>
      </c>
    </row>
    <row r="1190" spans="1:15" x14ac:dyDescent="0.25">
      <c r="A1190" s="8" t="s">
        <v>251</v>
      </c>
      <c r="B1190" s="1" t="s">
        <v>236</v>
      </c>
      <c r="C1190" s="1">
        <v>2015</v>
      </c>
      <c r="D1190" s="9">
        <v>2</v>
      </c>
      <c r="E1190" s="9">
        <v>4</v>
      </c>
      <c r="F1190" s="9">
        <v>3</v>
      </c>
      <c r="G1190" s="1">
        <v>2</v>
      </c>
      <c r="H1190" s="5">
        <v>0.41</v>
      </c>
      <c r="I1190" s="5">
        <v>0.95845178219986882</v>
      </c>
      <c r="J1190" s="3">
        <v>5545</v>
      </c>
      <c r="K1190">
        <v>6.1084292610471591</v>
      </c>
      <c r="L1190">
        <v>3.8432974378017084</v>
      </c>
      <c r="M1190">
        <v>0.6</v>
      </c>
    </row>
    <row r="1191" spans="1:15" x14ac:dyDescent="0.25">
      <c r="A1191" s="10" t="s">
        <v>251</v>
      </c>
      <c r="B1191" s="9" t="s">
        <v>236</v>
      </c>
      <c r="C1191" s="1">
        <v>2016</v>
      </c>
      <c r="D1191" s="9">
        <v>2</v>
      </c>
      <c r="E1191" s="9">
        <v>4</v>
      </c>
      <c r="F1191" s="9">
        <v>3</v>
      </c>
      <c r="G1191" s="1">
        <v>2</v>
      </c>
      <c r="H1191" s="2">
        <v>1.28</v>
      </c>
      <c r="I1191" s="2">
        <v>1.0289409747034444</v>
      </c>
      <c r="J1191" s="6">
        <v>5386</v>
      </c>
      <c r="K1191" s="7">
        <v>6.1084292610471591</v>
      </c>
      <c r="L1191" s="7">
        <v>3.8432974378017084</v>
      </c>
      <c r="M1191">
        <v>0.6</v>
      </c>
      <c r="O1191" s="7"/>
    </row>
    <row r="1192" spans="1:15" x14ac:dyDescent="0.25">
      <c r="A1192" s="10" t="s">
        <v>251</v>
      </c>
      <c r="B1192" s="9" t="s">
        <v>236</v>
      </c>
      <c r="C1192" s="1">
        <v>2017</v>
      </c>
      <c r="D1192" s="9">
        <v>2</v>
      </c>
      <c r="E1192" s="9">
        <v>4</v>
      </c>
      <c r="F1192" s="9">
        <v>3</v>
      </c>
      <c r="G1192" s="1">
        <v>2</v>
      </c>
      <c r="H1192" s="5">
        <v>0.82</v>
      </c>
      <c r="I1192" s="2">
        <v>1.0829831232072578</v>
      </c>
      <c r="J1192" s="3">
        <v>5479</v>
      </c>
      <c r="K1192">
        <v>6.1084292610471591</v>
      </c>
      <c r="L1192">
        <v>3.8432974378017084</v>
      </c>
      <c r="M1192">
        <v>0.6</v>
      </c>
    </row>
    <row r="1193" spans="1:15" x14ac:dyDescent="0.25">
      <c r="A1193" s="8" t="s">
        <v>251</v>
      </c>
      <c r="B1193" s="1" t="s">
        <v>236</v>
      </c>
      <c r="C1193" s="1">
        <v>2018</v>
      </c>
      <c r="D1193" s="9">
        <v>2</v>
      </c>
      <c r="E1193" s="9">
        <v>4</v>
      </c>
      <c r="F1193" s="9">
        <v>3</v>
      </c>
      <c r="G1193" s="1">
        <v>2</v>
      </c>
      <c r="H1193" s="5">
        <v>1.3</v>
      </c>
      <c r="I1193" s="2">
        <v>1.0220510795155344</v>
      </c>
      <c r="J1193" s="3">
        <v>5463</v>
      </c>
      <c r="K1193">
        <v>6.1084292610471591</v>
      </c>
      <c r="L1193">
        <v>3.8432974378017084</v>
      </c>
      <c r="M1193">
        <v>0.6</v>
      </c>
    </row>
    <row r="1194" spans="1:15" x14ac:dyDescent="0.25">
      <c r="A1194" s="8" t="s">
        <v>252</v>
      </c>
      <c r="B1194" s="1" t="s">
        <v>236</v>
      </c>
      <c r="C1194" s="1">
        <v>2014</v>
      </c>
      <c r="D1194" s="1">
        <v>3</v>
      </c>
      <c r="E1194" s="1">
        <v>3</v>
      </c>
      <c r="F1194" s="1">
        <v>3</v>
      </c>
      <c r="G1194" s="1">
        <v>0</v>
      </c>
      <c r="H1194" s="5">
        <v>0.12</v>
      </c>
      <c r="I1194" s="5">
        <v>0.76420848350429726</v>
      </c>
      <c r="J1194" s="3">
        <v>14024</v>
      </c>
      <c r="K1194">
        <v>2.6736454944122223</v>
      </c>
      <c r="L1194">
        <v>2.037063233837884</v>
      </c>
      <c r="M1194">
        <v>18.100000000000001</v>
      </c>
    </row>
    <row r="1195" spans="1:15" x14ac:dyDescent="0.25">
      <c r="A1195" s="8" t="s">
        <v>252</v>
      </c>
      <c r="B1195" s="1" t="s">
        <v>236</v>
      </c>
      <c r="C1195" s="1">
        <v>2015</v>
      </c>
      <c r="D1195" s="1">
        <v>3</v>
      </c>
      <c r="E1195" s="1">
        <v>3</v>
      </c>
      <c r="F1195" s="1">
        <v>3</v>
      </c>
      <c r="G1195" s="1">
        <v>0</v>
      </c>
      <c r="H1195" s="5">
        <v>0.38</v>
      </c>
      <c r="I1195" s="5">
        <v>1.0337932167200461</v>
      </c>
      <c r="J1195" s="3">
        <v>14266</v>
      </c>
      <c r="K1195">
        <v>2.6736454944122223</v>
      </c>
      <c r="L1195">
        <v>2.037063233837884</v>
      </c>
      <c r="M1195">
        <v>18.5</v>
      </c>
    </row>
    <row r="1196" spans="1:15" x14ac:dyDescent="0.25">
      <c r="A1196" t="s">
        <v>252</v>
      </c>
      <c r="B1196" s="1" t="s">
        <v>236</v>
      </c>
      <c r="C1196" s="1">
        <v>2016</v>
      </c>
      <c r="D1196" s="1">
        <v>3</v>
      </c>
      <c r="E1196" s="1">
        <v>3</v>
      </c>
      <c r="F1196" s="1">
        <v>3</v>
      </c>
      <c r="G1196" s="1">
        <v>0</v>
      </c>
      <c r="H1196" s="5">
        <v>0.33</v>
      </c>
      <c r="I1196" s="2">
        <v>1.0307538153229536</v>
      </c>
      <c r="J1196" s="6">
        <v>14138</v>
      </c>
      <c r="K1196" s="7">
        <v>2.6736454944122223</v>
      </c>
      <c r="L1196" s="7">
        <v>2.037063233837884</v>
      </c>
      <c r="M1196">
        <v>18.7</v>
      </c>
      <c r="O1196" s="7"/>
    </row>
    <row r="1197" spans="1:15" x14ac:dyDescent="0.25">
      <c r="A1197" t="s">
        <v>252</v>
      </c>
      <c r="B1197" s="1" t="s">
        <v>236</v>
      </c>
      <c r="C1197" s="1">
        <v>2017</v>
      </c>
      <c r="D1197" s="1">
        <v>3</v>
      </c>
      <c r="E1197" s="1">
        <v>3</v>
      </c>
      <c r="F1197" s="1">
        <v>3</v>
      </c>
      <c r="G1197" s="1">
        <v>0</v>
      </c>
      <c r="H1197" s="5">
        <v>1.1000000000000001</v>
      </c>
      <c r="I1197" s="2">
        <v>1.1381089859256586</v>
      </c>
      <c r="J1197" s="3">
        <v>14650</v>
      </c>
      <c r="K1197">
        <v>2.6736454944122223</v>
      </c>
      <c r="L1197">
        <v>2.037063233837884</v>
      </c>
      <c r="M1197">
        <v>19</v>
      </c>
    </row>
    <row r="1198" spans="1:15" x14ac:dyDescent="0.25">
      <c r="A1198" s="8" t="s">
        <v>252</v>
      </c>
      <c r="B1198" s="1" t="s">
        <v>236</v>
      </c>
      <c r="C1198" s="1">
        <v>2018</v>
      </c>
      <c r="D1198" s="1">
        <v>3</v>
      </c>
      <c r="E1198" s="1">
        <v>3</v>
      </c>
      <c r="F1198" s="1">
        <v>3</v>
      </c>
      <c r="G1198" s="1">
        <v>0</v>
      </c>
      <c r="H1198" s="5">
        <v>0.43</v>
      </c>
      <c r="I1198" s="2">
        <v>1.1539814117056015</v>
      </c>
      <c r="J1198" s="3">
        <v>14872</v>
      </c>
      <c r="K1198">
        <v>2.6736454944122223</v>
      </c>
      <c r="L1198">
        <v>2.037063233837884</v>
      </c>
      <c r="M1198">
        <v>19.2</v>
      </c>
    </row>
    <row r="1199" spans="1:15" x14ac:dyDescent="0.25">
      <c r="A1199" s="8" t="s">
        <v>253</v>
      </c>
      <c r="B1199" s="1" t="s">
        <v>236</v>
      </c>
      <c r="C1199" s="1">
        <v>2014</v>
      </c>
      <c r="D1199" s="1">
        <v>4</v>
      </c>
      <c r="E1199" s="1">
        <v>5</v>
      </c>
      <c r="F1199" s="1">
        <v>4.5</v>
      </c>
      <c r="G1199" s="1">
        <v>1</v>
      </c>
      <c r="H1199" s="5">
        <v>1.04</v>
      </c>
      <c r="I1199" s="5">
        <v>0.83432245301681507</v>
      </c>
      <c r="J1199" s="3">
        <v>1068</v>
      </c>
      <c r="K1199">
        <v>3.1578947368421053</v>
      </c>
      <c r="L1199">
        <v>0.28708133971291866</v>
      </c>
      <c r="M1199">
        <v>0.2</v>
      </c>
    </row>
    <row r="1200" spans="1:15" x14ac:dyDescent="0.25">
      <c r="A1200" s="8" t="s">
        <v>253</v>
      </c>
      <c r="B1200" s="1" t="s">
        <v>236</v>
      </c>
      <c r="C1200" s="1">
        <v>2015</v>
      </c>
      <c r="D1200" s="1">
        <v>4</v>
      </c>
      <c r="E1200" s="1">
        <v>5</v>
      </c>
      <c r="F1200" s="1">
        <v>4.5</v>
      </c>
      <c r="G1200" s="1">
        <v>1</v>
      </c>
      <c r="H1200" s="5">
        <v>0.92</v>
      </c>
      <c r="I1200" s="5">
        <v>1.0469733656174334</v>
      </c>
      <c r="J1200" s="3">
        <v>1071</v>
      </c>
      <c r="K1200">
        <v>3.1578947368421053</v>
      </c>
      <c r="L1200">
        <v>0.28708133971291866</v>
      </c>
      <c r="M1200">
        <v>0.2</v>
      </c>
    </row>
    <row r="1201" spans="1:15" x14ac:dyDescent="0.25">
      <c r="A1201" t="s">
        <v>253</v>
      </c>
      <c r="B1201" s="1" t="s">
        <v>236</v>
      </c>
      <c r="C1201" s="1">
        <v>2016</v>
      </c>
      <c r="D1201" s="1">
        <v>4</v>
      </c>
      <c r="E1201" s="1">
        <v>5</v>
      </c>
      <c r="F1201" s="1">
        <v>4.5</v>
      </c>
      <c r="G1201" s="1">
        <v>1</v>
      </c>
      <c r="H1201" s="2">
        <v>1.33</v>
      </c>
      <c r="I1201" s="2">
        <v>1.0341685649202734</v>
      </c>
      <c r="J1201" s="6">
        <v>1045</v>
      </c>
      <c r="K1201" s="7">
        <v>3.1578947368421053</v>
      </c>
      <c r="L1201" s="7">
        <v>0.28708133971291866</v>
      </c>
      <c r="M1201">
        <v>0.2</v>
      </c>
      <c r="O1201" s="7"/>
    </row>
    <row r="1202" spans="1:15" x14ac:dyDescent="0.25">
      <c r="A1202" t="s">
        <v>253</v>
      </c>
      <c r="B1202" s="1" t="s">
        <v>236</v>
      </c>
      <c r="C1202" s="1">
        <v>2017</v>
      </c>
      <c r="D1202" s="1">
        <v>4</v>
      </c>
      <c r="E1202" s="1">
        <v>5</v>
      </c>
      <c r="F1202" s="1">
        <v>4.5</v>
      </c>
      <c r="G1202" s="1">
        <v>1</v>
      </c>
      <c r="H1202" s="5">
        <v>0.66</v>
      </c>
      <c r="I1202" s="2">
        <v>1.2523126734505088</v>
      </c>
      <c r="J1202" s="3">
        <v>1054</v>
      </c>
      <c r="K1202">
        <v>3.1578947368421053</v>
      </c>
      <c r="L1202">
        <v>0.28708133971291866</v>
      </c>
      <c r="M1202">
        <v>0.2</v>
      </c>
    </row>
    <row r="1203" spans="1:15" x14ac:dyDescent="0.25">
      <c r="A1203" s="8" t="s">
        <v>253</v>
      </c>
      <c r="B1203" s="1" t="s">
        <v>236</v>
      </c>
      <c r="C1203" s="1">
        <v>2018</v>
      </c>
      <c r="D1203" s="1">
        <v>4</v>
      </c>
      <c r="E1203" s="1">
        <v>5</v>
      </c>
      <c r="F1203" s="1">
        <v>4.5</v>
      </c>
      <c r="G1203" s="1">
        <v>1</v>
      </c>
      <c r="H1203" s="5">
        <v>1.3</v>
      </c>
      <c r="I1203" s="2">
        <v>1.3421949556918882</v>
      </c>
      <c r="J1203" s="3">
        <v>1019</v>
      </c>
      <c r="K1203">
        <v>3.1578947368421053</v>
      </c>
      <c r="L1203">
        <v>0.28708133971291866</v>
      </c>
      <c r="M1203">
        <v>0.2</v>
      </c>
    </row>
    <row r="1204" spans="1:15" x14ac:dyDescent="0.25">
      <c r="A1204" s="8" t="s">
        <v>254</v>
      </c>
      <c r="B1204" s="1" t="s">
        <v>236</v>
      </c>
      <c r="C1204" s="1">
        <v>2014</v>
      </c>
      <c r="D1204" s="1">
        <v>3</v>
      </c>
      <c r="E1204" s="1">
        <v>3</v>
      </c>
      <c r="F1204" s="1">
        <v>3</v>
      </c>
      <c r="G1204" s="1">
        <v>0</v>
      </c>
      <c r="H1204" s="5">
        <v>0.55000000000000004</v>
      </c>
      <c r="I1204" s="5">
        <v>0.97362437471577989</v>
      </c>
      <c r="J1204" s="3">
        <v>1710</v>
      </c>
      <c r="K1204">
        <v>13.170731707317074</v>
      </c>
      <c r="L1204">
        <v>3.4146341463414638</v>
      </c>
      <c r="M1204">
        <v>0.4</v>
      </c>
    </row>
    <row r="1205" spans="1:15" x14ac:dyDescent="0.25">
      <c r="A1205" s="8" t="s">
        <v>254</v>
      </c>
      <c r="B1205" s="1" t="s">
        <v>236</v>
      </c>
      <c r="C1205" s="1">
        <v>2015</v>
      </c>
      <c r="D1205" s="1">
        <v>3</v>
      </c>
      <c r="E1205" s="1">
        <v>3</v>
      </c>
      <c r="F1205" s="1">
        <v>3</v>
      </c>
      <c r="G1205" s="1">
        <v>0</v>
      </c>
      <c r="H1205" s="5">
        <v>0.08</v>
      </c>
      <c r="I1205" s="5">
        <v>0.97677534613666817</v>
      </c>
      <c r="J1205" s="3">
        <v>1703</v>
      </c>
      <c r="K1205">
        <v>13.170731707317074</v>
      </c>
      <c r="L1205">
        <v>3.4146341463414638</v>
      </c>
      <c r="M1205">
        <v>0.4</v>
      </c>
    </row>
    <row r="1206" spans="1:15" x14ac:dyDescent="0.25">
      <c r="A1206" t="s">
        <v>254</v>
      </c>
      <c r="B1206" s="1" t="s">
        <v>236</v>
      </c>
      <c r="C1206" s="1">
        <v>2016</v>
      </c>
      <c r="D1206" s="1">
        <v>3</v>
      </c>
      <c r="E1206" s="1">
        <v>3</v>
      </c>
      <c r="F1206" s="1">
        <v>3</v>
      </c>
      <c r="G1206" s="1">
        <v>0</v>
      </c>
      <c r="H1206" s="2">
        <v>0.27</v>
      </c>
      <c r="I1206" s="2">
        <v>0.9129160561021562</v>
      </c>
      <c r="J1206" s="6">
        <v>1640</v>
      </c>
      <c r="K1206" s="7">
        <v>13.170731707317074</v>
      </c>
      <c r="L1206" s="7">
        <v>3.4146341463414638</v>
      </c>
      <c r="M1206">
        <v>0.4</v>
      </c>
      <c r="O1206" s="7"/>
    </row>
    <row r="1207" spans="1:15" x14ac:dyDescent="0.25">
      <c r="A1207" t="s">
        <v>254</v>
      </c>
      <c r="B1207" s="1" t="s">
        <v>236</v>
      </c>
      <c r="C1207" s="1">
        <v>2017</v>
      </c>
      <c r="D1207" s="1">
        <v>3</v>
      </c>
      <c r="E1207" s="1">
        <v>3</v>
      </c>
      <c r="F1207" s="1">
        <v>3</v>
      </c>
      <c r="G1207" s="1">
        <v>0</v>
      </c>
      <c r="H1207" s="5">
        <v>0.03</v>
      </c>
      <c r="I1207" s="2">
        <v>0.76936496859734826</v>
      </c>
      <c r="J1207" s="3">
        <v>1689</v>
      </c>
      <c r="K1207">
        <v>13.170731707317074</v>
      </c>
      <c r="L1207">
        <v>3.4146341463414638</v>
      </c>
      <c r="M1207">
        <v>0.4</v>
      </c>
    </row>
    <row r="1208" spans="1:15" x14ac:dyDescent="0.25">
      <c r="A1208" s="8" t="s">
        <v>254</v>
      </c>
      <c r="B1208" s="1" t="s">
        <v>236</v>
      </c>
      <c r="C1208" s="1">
        <v>2018</v>
      </c>
      <c r="D1208" s="1">
        <v>3</v>
      </c>
      <c r="E1208" s="1">
        <v>3</v>
      </c>
      <c r="F1208" s="1">
        <v>3</v>
      </c>
      <c r="G1208" s="1">
        <v>0</v>
      </c>
      <c r="H1208" s="5">
        <v>0.97</v>
      </c>
      <c r="I1208" s="2">
        <v>0.83479978452145809</v>
      </c>
      <c r="J1208" s="3">
        <v>1693</v>
      </c>
      <c r="K1208">
        <v>13.170731707317074</v>
      </c>
      <c r="L1208">
        <v>3.4146341463414638</v>
      </c>
      <c r="M1208">
        <v>0.4</v>
      </c>
    </row>
    <row r="1209" spans="1:15" x14ac:dyDescent="0.25">
      <c r="A1209" s="8" t="s">
        <v>255</v>
      </c>
      <c r="B1209" s="1" t="s">
        <v>236</v>
      </c>
      <c r="C1209" s="1">
        <v>2014</v>
      </c>
      <c r="D1209" s="1">
        <v>3</v>
      </c>
      <c r="E1209" s="1">
        <v>4</v>
      </c>
      <c r="F1209" s="1">
        <v>3.5</v>
      </c>
      <c r="G1209" s="1">
        <v>1</v>
      </c>
      <c r="H1209" s="5">
        <v>0.94</v>
      </c>
      <c r="I1209" s="5">
        <v>0.6804008908685969</v>
      </c>
      <c r="J1209" s="3">
        <v>1307</v>
      </c>
      <c r="K1209">
        <v>2.0030816640986133</v>
      </c>
      <c r="L1209">
        <v>0.38520801232665641</v>
      </c>
      <c r="M1209">
        <v>0.5</v>
      </c>
    </row>
    <row r="1210" spans="1:15" x14ac:dyDescent="0.25">
      <c r="A1210" s="8" t="s">
        <v>255</v>
      </c>
      <c r="B1210" s="1" t="s">
        <v>236</v>
      </c>
      <c r="C1210" s="1">
        <v>2015</v>
      </c>
      <c r="D1210" s="1">
        <v>3</v>
      </c>
      <c r="E1210" s="1">
        <v>4</v>
      </c>
      <c r="F1210" s="1">
        <v>3.5</v>
      </c>
      <c r="G1210" s="1">
        <v>1</v>
      </c>
      <c r="H1210" s="5">
        <v>0.35</v>
      </c>
      <c r="I1210" s="5">
        <v>1.4846263490124212</v>
      </c>
      <c r="J1210" s="3">
        <v>1331</v>
      </c>
      <c r="K1210">
        <v>2.0030816640986133</v>
      </c>
      <c r="L1210">
        <v>0.38520801232665641</v>
      </c>
      <c r="M1210">
        <v>0.5</v>
      </c>
    </row>
    <row r="1211" spans="1:15" x14ac:dyDescent="0.25">
      <c r="A1211" t="s">
        <v>255</v>
      </c>
      <c r="B1211" s="1" t="s">
        <v>236</v>
      </c>
      <c r="C1211" s="1">
        <v>2016</v>
      </c>
      <c r="D1211" s="1">
        <v>3</v>
      </c>
      <c r="E1211" s="1">
        <v>4</v>
      </c>
      <c r="F1211" s="1">
        <v>3.5</v>
      </c>
      <c r="G1211" s="1">
        <v>1</v>
      </c>
      <c r="H1211" s="2">
        <v>1.18</v>
      </c>
      <c r="I1211" s="2">
        <v>0.72777510812109569</v>
      </c>
      <c r="J1211" s="6">
        <v>1298</v>
      </c>
      <c r="K1211" s="7">
        <v>2.0030816640986133</v>
      </c>
      <c r="L1211" s="7">
        <v>0.38520801232665641</v>
      </c>
      <c r="M1211">
        <v>0.5</v>
      </c>
      <c r="O1211" s="7"/>
    </row>
    <row r="1212" spans="1:15" x14ac:dyDescent="0.25">
      <c r="A1212" t="s">
        <v>255</v>
      </c>
      <c r="B1212" s="1" t="s">
        <v>236</v>
      </c>
      <c r="C1212" s="1">
        <v>2017</v>
      </c>
      <c r="D1212" s="1">
        <v>3</v>
      </c>
      <c r="E1212" s="1">
        <v>4</v>
      </c>
      <c r="F1212" s="1">
        <v>3.5</v>
      </c>
      <c r="G1212" s="1">
        <v>1</v>
      </c>
      <c r="H1212" s="5">
        <v>1.29</v>
      </c>
      <c r="I1212" s="2">
        <v>1.2877056035684415</v>
      </c>
      <c r="J1212" s="3">
        <v>1322</v>
      </c>
      <c r="K1212">
        <v>2.0030816640986133</v>
      </c>
      <c r="L1212">
        <v>0.38520801232665641</v>
      </c>
      <c r="M1212">
        <v>0.5</v>
      </c>
    </row>
    <row r="1213" spans="1:15" x14ac:dyDescent="0.25">
      <c r="A1213" s="8" t="s">
        <v>255</v>
      </c>
      <c r="B1213" s="1" t="s">
        <v>236</v>
      </c>
      <c r="C1213" s="1">
        <v>2018</v>
      </c>
      <c r="D1213" s="1">
        <v>3</v>
      </c>
      <c r="E1213" s="1">
        <v>4</v>
      </c>
      <c r="F1213" s="1">
        <v>3.5</v>
      </c>
      <c r="G1213" s="1">
        <v>1</v>
      </c>
      <c r="H1213" s="5">
        <v>0.82</v>
      </c>
      <c r="I1213" s="2">
        <v>1.2779429250891796</v>
      </c>
      <c r="J1213" s="3">
        <v>1315</v>
      </c>
      <c r="K1213">
        <v>2.0030816640986133</v>
      </c>
      <c r="L1213">
        <v>0.38520801232665641</v>
      </c>
      <c r="M1213">
        <v>0.5</v>
      </c>
    </row>
    <row r="1214" spans="1:15" x14ac:dyDescent="0.25">
      <c r="A1214" s="8" t="s">
        <v>256</v>
      </c>
      <c r="B1214" s="1" t="s">
        <v>236</v>
      </c>
      <c r="C1214" s="1">
        <v>2014</v>
      </c>
      <c r="D1214" s="1">
        <v>1</v>
      </c>
      <c r="E1214" s="1">
        <v>1</v>
      </c>
      <c r="F1214" s="1">
        <v>1</v>
      </c>
      <c r="G1214" s="1">
        <v>0</v>
      </c>
      <c r="H1214" s="5">
        <v>1.19</v>
      </c>
      <c r="I1214" s="5">
        <v>0.71169830848345672</v>
      </c>
      <c r="J1214" s="3">
        <v>22275</v>
      </c>
      <c r="K1214">
        <v>1.6887345344041675</v>
      </c>
      <c r="L1214">
        <v>4.4801389190362491</v>
      </c>
      <c r="M1214">
        <v>541.5</v>
      </c>
    </row>
    <row r="1215" spans="1:15" x14ac:dyDescent="0.25">
      <c r="A1215" s="8" t="s">
        <v>256</v>
      </c>
      <c r="B1215" s="1" t="s">
        <v>236</v>
      </c>
      <c r="C1215" s="1">
        <v>2015</v>
      </c>
      <c r="D1215" s="1">
        <v>1</v>
      </c>
      <c r="E1215" s="1">
        <v>1</v>
      </c>
      <c r="F1215" s="1">
        <v>1</v>
      </c>
      <c r="G1215" s="1">
        <v>0</v>
      </c>
      <c r="H1215" s="5">
        <v>1.4</v>
      </c>
      <c r="I1215" s="5">
        <v>1.0681553146460503</v>
      </c>
      <c r="J1215" s="3">
        <v>22707</v>
      </c>
      <c r="K1215">
        <v>1.6887345344041675</v>
      </c>
      <c r="L1215">
        <v>4.4801389190362491</v>
      </c>
      <c r="M1215">
        <v>552</v>
      </c>
    </row>
    <row r="1216" spans="1:15" x14ac:dyDescent="0.25">
      <c r="A1216" t="s">
        <v>256</v>
      </c>
      <c r="B1216" s="1" t="s">
        <v>236</v>
      </c>
      <c r="C1216" s="1">
        <v>2016</v>
      </c>
      <c r="D1216" s="1">
        <v>1</v>
      </c>
      <c r="E1216" s="1">
        <v>1</v>
      </c>
      <c r="F1216" s="1">
        <v>1</v>
      </c>
      <c r="G1216" s="1">
        <v>0</v>
      </c>
      <c r="H1216" s="2">
        <v>0.97</v>
      </c>
      <c r="I1216" s="2">
        <v>0.99015197568389057</v>
      </c>
      <c r="J1216" s="6">
        <v>23035</v>
      </c>
      <c r="K1216" s="7">
        <v>1.6887345344041675</v>
      </c>
      <c r="L1216" s="7">
        <v>4.4801389190362491</v>
      </c>
      <c r="M1216">
        <v>567.70000000000005</v>
      </c>
      <c r="O1216" s="7"/>
    </row>
    <row r="1217" spans="1:15" x14ac:dyDescent="0.25">
      <c r="A1217" t="s">
        <v>256</v>
      </c>
      <c r="B1217" s="1" t="s">
        <v>236</v>
      </c>
      <c r="C1217" s="1">
        <v>2017</v>
      </c>
      <c r="D1217" s="1">
        <v>1</v>
      </c>
      <c r="E1217" s="1">
        <v>1</v>
      </c>
      <c r="F1217" s="1">
        <v>1</v>
      </c>
      <c r="G1217" s="1">
        <v>0</v>
      </c>
      <c r="H1217" s="5">
        <v>0.99</v>
      </c>
      <c r="I1217" s="2">
        <v>1.0356551538254206</v>
      </c>
      <c r="J1217" s="3">
        <v>23699</v>
      </c>
      <c r="K1217">
        <v>1.6887345344041675</v>
      </c>
      <c r="L1217">
        <v>4.4801389190362491</v>
      </c>
      <c r="M1217">
        <v>576.1</v>
      </c>
    </row>
    <row r="1218" spans="1:15" x14ac:dyDescent="0.25">
      <c r="A1218" s="8" t="s">
        <v>256</v>
      </c>
      <c r="B1218" s="1" t="s">
        <v>236</v>
      </c>
      <c r="C1218" s="1">
        <v>2018</v>
      </c>
      <c r="D1218" s="1">
        <v>1</v>
      </c>
      <c r="E1218" s="1">
        <v>1</v>
      </c>
      <c r="F1218" s="1">
        <v>1</v>
      </c>
      <c r="G1218" s="1">
        <v>0</v>
      </c>
      <c r="H1218" s="5">
        <v>1.01</v>
      </c>
      <c r="I1218" s="2">
        <v>1.0227255820873318</v>
      </c>
      <c r="J1218" s="3">
        <v>24018</v>
      </c>
      <c r="K1218">
        <v>1.6887345344041675</v>
      </c>
      <c r="L1218">
        <v>4.4801389190362491</v>
      </c>
      <c r="M1218">
        <v>583.79999999999995</v>
      </c>
    </row>
    <row r="1219" spans="1:15" x14ac:dyDescent="0.25">
      <c r="A1219" s="8" t="s">
        <v>257</v>
      </c>
      <c r="B1219" s="1" t="s">
        <v>236</v>
      </c>
      <c r="C1219" s="1">
        <v>2014</v>
      </c>
      <c r="D1219" s="1">
        <v>3</v>
      </c>
      <c r="E1219" s="1">
        <v>3</v>
      </c>
      <c r="F1219" s="1">
        <v>3</v>
      </c>
      <c r="G1219" s="1">
        <v>0</v>
      </c>
      <c r="I1219" s="5"/>
      <c r="K1219">
        <v>0</v>
      </c>
      <c r="L1219">
        <v>0</v>
      </c>
    </row>
    <row r="1220" spans="1:15" x14ac:dyDescent="0.25">
      <c r="A1220" s="8" t="s">
        <v>257</v>
      </c>
      <c r="B1220" s="1" t="s">
        <v>236</v>
      </c>
      <c r="C1220" s="1">
        <v>2015</v>
      </c>
      <c r="D1220" s="1">
        <v>3</v>
      </c>
      <c r="E1220" s="1">
        <v>3</v>
      </c>
      <c r="F1220" s="1">
        <v>3</v>
      </c>
      <c r="G1220" s="1">
        <v>0</v>
      </c>
      <c r="K1220">
        <v>0</v>
      </c>
      <c r="L1220">
        <v>0</v>
      </c>
    </row>
    <row r="1221" spans="1:15" x14ac:dyDescent="0.25">
      <c r="A1221" t="s">
        <v>257</v>
      </c>
      <c r="B1221" s="1" t="s">
        <v>236</v>
      </c>
      <c r="C1221" s="1">
        <v>2016</v>
      </c>
      <c r="D1221" s="1">
        <v>3</v>
      </c>
      <c r="E1221" s="1">
        <v>3</v>
      </c>
      <c r="F1221" s="1">
        <v>3</v>
      </c>
      <c r="G1221" s="1">
        <v>0</v>
      </c>
      <c r="H1221" s="5"/>
      <c r="K1221">
        <v>0</v>
      </c>
      <c r="L1221">
        <v>0</v>
      </c>
      <c r="O1221" s="7"/>
    </row>
    <row r="1222" spans="1:15" x14ac:dyDescent="0.25">
      <c r="A1222" t="s">
        <v>257</v>
      </c>
      <c r="B1222" s="1" t="s">
        <v>236</v>
      </c>
      <c r="C1222" s="1">
        <v>2017</v>
      </c>
      <c r="D1222" s="1">
        <v>3</v>
      </c>
      <c r="E1222" s="1">
        <v>3</v>
      </c>
      <c r="F1222" s="1">
        <v>3</v>
      </c>
      <c r="G1222" s="1">
        <v>0</v>
      </c>
      <c r="H1222" s="5"/>
      <c r="K1222">
        <v>0</v>
      </c>
      <c r="L1222">
        <v>0</v>
      </c>
    </row>
    <row r="1223" spans="1:15" x14ac:dyDescent="0.25">
      <c r="A1223" s="8" t="s">
        <v>257</v>
      </c>
      <c r="B1223" s="1" t="s">
        <v>236</v>
      </c>
      <c r="C1223" s="1">
        <v>2018</v>
      </c>
      <c r="D1223" s="1">
        <v>3</v>
      </c>
      <c r="E1223" s="1">
        <v>3</v>
      </c>
      <c r="F1223" s="1">
        <v>3</v>
      </c>
      <c r="G1223" s="1">
        <v>0</v>
      </c>
      <c r="K1223">
        <v>0</v>
      </c>
      <c r="L1223">
        <v>0</v>
      </c>
    </row>
    <row r="1224" spans="1:15" x14ac:dyDescent="0.25">
      <c r="A1224" s="8" t="s">
        <v>258</v>
      </c>
      <c r="B1224" s="1" t="s">
        <v>236</v>
      </c>
      <c r="C1224" s="1">
        <v>2014</v>
      </c>
      <c r="D1224" s="1">
        <v>2</v>
      </c>
      <c r="E1224" s="1">
        <v>3</v>
      </c>
      <c r="F1224" s="1">
        <v>2.5</v>
      </c>
      <c r="G1224" s="1">
        <v>1</v>
      </c>
      <c r="H1224" s="5">
        <v>7.52</v>
      </c>
      <c r="I1224" s="2">
        <v>0.79755802031876222</v>
      </c>
      <c r="J1224" s="3">
        <v>4256</v>
      </c>
      <c r="K1224">
        <v>1.7174649250120948</v>
      </c>
      <c r="L1224">
        <v>1.9109820996613451</v>
      </c>
      <c r="M1224">
        <v>0.6</v>
      </c>
    </row>
    <row r="1225" spans="1:15" x14ac:dyDescent="0.25">
      <c r="A1225" s="8" t="s">
        <v>258</v>
      </c>
      <c r="B1225" s="1" t="s">
        <v>236</v>
      </c>
      <c r="C1225" s="1">
        <v>2015</v>
      </c>
      <c r="D1225" s="1">
        <v>2</v>
      </c>
      <c r="E1225" s="1">
        <v>3</v>
      </c>
      <c r="F1225" s="1">
        <v>2.5</v>
      </c>
      <c r="G1225" s="1">
        <v>1</v>
      </c>
      <c r="H1225" s="5">
        <v>0.9</v>
      </c>
      <c r="I1225" s="5">
        <v>1.0882996172772006</v>
      </c>
      <c r="J1225" s="3">
        <v>4251</v>
      </c>
      <c r="K1225">
        <v>1.7174649250120948</v>
      </c>
      <c r="L1225">
        <v>1.9109820996613451</v>
      </c>
      <c r="M1225">
        <v>0.6</v>
      </c>
    </row>
    <row r="1226" spans="1:15" x14ac:dyDescent="0.25">
      <c r="A1226" t="s">
        <v>258</v>
      </c>
      <c r="B1226" s="1" t="s">
        <v>236</v>
      </c>
      <c r="C1226" s="1">
        <v>2016</v>
      </c>
      <c r="D1226" s="1">
        <v>2</v>
      </c>
      <c r="E1226" s="1">
        <v>3</v>
      </c>
      <c r="F1226" s="1">
        <v>2.5</v>
      </c>
      <c r="G1226" s="1">
        <v>1</v>
      </c>
      <c r="H1226" s="2">
        <v>0.9</v>
      </c>
      <c r="I1226" s="2">
        <v>0.95210303884081304</v>
      </c>
      <c r="J1226" s="6">
        <v>4134</v>
      </c>
      <c r="K1226" s="7">
        <v>1.7174649250120948</v>
      </c>
      <c r="L1226" s="7">
        <v>1.9109820996613451</v>
      </c>
      <c r="M1226">
        <v>0.6</v>
      </c>
      <c r="O1226" s="7"/>
    </row>
    <row r="1227" spans="1:15" x14ac:dyDescent="0.25">
      <c r="A1227" t="s">
        <v>258</v>
      </c>
      <c r="B1227" s="1" t="s">
        <v>236</v>
      </c>
      <c r="C1227" s="1">
        <v>2017</v>
      </c>
      <c r="D1227" s="1">
        <v>2</v>
      </c>
      <c r="E1227" s="1">
        <v>3</v>
      </c>
      <c r="F1227" s="1">
        <v>2.5</v>
      </c>
      <c r="G1227" s="1">
        <v>1</v>
      </c>
      <c r="H1227" s="5">
        <v>0.78</v>
      </c>
      <c r="I1227" s="2">
        <v>1.2525182698005135</v>
      </c>
      <c r="J1227" s="3">
        <v>4240</v>
      </c>
      <c r="K1227">
        <v>1.7174649250120948</v>
      </c>
      <c r="L1227">
        <v>1.9109820996613451</v>
      </c>
      <c r="M1227">
        <v>0.6</v>
      </c>
    </row>
    <row r="1228" spans="1:15" x14ac:dyDescent="0.25">
      <c r="A1228" s="8" t="s">
        <v>258</v>
      </c>
      <c r="B1228" s="1" t="s">
        <v>236</v>
      </c>
      <c r="C1228" s="1">
        <v>2018</v>
      </c>
      <c r="D1228" s="1">
        <v>2</v>
      </c>
      <c r="E1228" s="1">
        <v>3</v>
      </c>
      <c r="F1228" s="1">
        <v>2.5</v>
      </c>
      <c r="G1228" s="1">
        <v>1</v>
      </c>
      <c r="H1228" s="5">
        <v>0.8</v>
      </c>
      <c r="I1228" s="2">
        <v>1.1051756007393716</v>
      </c>
      <c r="J1228" s="3">
        <v>4206</v>
      </c>
      <c r="K1228">
        <v>1.7174649250120948</v>
      </c>
      <c r="L1228">
        <v>1.9109820996613451</v>
      </c>
      <c r="M1228">
        <v>0.6</v>
      </c>
    </row>
    <row r="1229" spans="1:15" x14ac:dyDescent="0.25">
      <c r="A1229" s="8" t="s">
        <v>259</v>
      </c>
      <c r="B1229" s="1" t="s">
        <v>236</v>
      </c>
      <c r="C1229" s="1">
        <v>2014</v>
      </c>
      <c r="D1229" s="1">
        <v>3</v>
      </c>
      <c r="E1229" s="1">
        <v>3</v>
      </c>
      <c r="F1229" s="1">
        <v>3</v>
      </c>
      <c r="G1229" s="1">
        <v>0</v>
      </c>
      <c r="H1229" s="5">
        <v>0.73</v>
      </c>
      <c r="I1229" s="5">
        <v>0.87910328262610093</v>
      </c>
      <c r="J1229" s="3">
        <v>8144</v>
      </c>
      <c r="K1229">
        <v>1.4754298256310205</v>
      </c>
      <c r="L1229">
        <v>1.804657968540422</v>
      </c>
      <c r="M1229">
        <v>4.3</v>
      </c>
    </row>
    <row r="1230" spans="1:15" x14ac:dyDescent="0.25">
      <c r="A1230" s="8" t="s">
        <v>259</v>
      </c>
      <c r="B1230" s="1" t="s">
        <v>236</v>
      </c>
      <c r="C1230" s="1">
        <v>2015</v>
      </c>
      <c r="D1230" s="1">
        <v>3</v>
      </c>
      <c r="E1230" s="1">
        <v>3</v>
      </c>
      <c r="F1230" s="1">
        <v>3</v>
      </c>
      <c r="G1230" s="1">
        <v>0</v>
      </c>
      <c r="H1230" s="5">
        <v>0.16</v>
      </c>
      <c r="I1230" s="5">
        <v>0.9595116132201249</v>
      </c>
      <c r="J1230" s="3">
        <v>8282</v>
      </c>
      <c r="K1230">
        <v>1.4754298256310205</v>
      </c>
      <c r="L1230">
        <v>1.804657968540422</v>
      </c>
      <c r="M1230">
        <v>4.4000000000000004</v>
      </c>
    </row>
    <row r="1231" spans="1:15" x14ac:dyDescent="0.25">
      <c r="A1231" t="s">
        <v>259</v>
      </c>
      <c r="B1231" s="1" t="s">
        <v>236</v>
      </c>
      <c r="C1231" s="1">
        <v>2016</v>
      </c>
      <c r="D1231" s="1">
        <v>3</v>
      </c>
      <c r="E1231" s="1">
        <v>3</v>
      </c>
      <c r="F1231" s="1">
        <v>3</v>
      </c>
      <c r="G1231" s="1">
        <v>0</v>
      </c>
      <c r="H1231" s="2">
        <v>0.71</v>
      </c>
      <c r="I1231" s="2">
        <v>0.93208498379546278</v>
      </c>
      <c r="J1231" s="6">
        <v>8201</v>
      </c>
      <c r="K1231" s="7">
        <v>1.4754298256310205</v>
      </c>
      <c r="L1231" s="7">
        <v>1.804657968540422</v>
      </c>
      <c r="M1231">
        <v>4.4000000000000004</v>
      </c>
      <c r="O1231" s="7"/>
    </row>
    <row r="1232" spans="1:15" x14ac:dyDescent="0.25">
      <c r="A1232" t="s">
        <v>259</v>
      </c>
      <c r="B1232" s="1" t="s">
        <v>236</v>
      </c>
      <c r="C1232" s="1">
        <v>2017</v>
      </c>
      <c r="D1232" s="1">
        <v>3</v>
      </c>
      <c r="E1232" s="1">
        <v>3</v>
      </c>
      <c r="F1232" s="1">
        <v>3</v>
      </c>
      <c r="G1232" s="1">
        <v>0</v>
      </c>
      <c r="H1232" s="5">
        <v>0.45</v>
      </c>
      <c r="I1232" s="2">
        <v>1.0115473441108545</v>
      </c>
      <c r="J1232" s="3">
        <v>8482</v>
      </c>
      <c r="K1232">
        <v>1.4754298256310205</v>
      </c>
      <c r="L1232">
        <v>1.804657968540422</v>
      </c>
      <c r="M1232">
        <v>4.5</v>
      </c>
    </row>
    <row r="1233" spans="1:15" x14ac:dyDescent="0.25">
      <c r="A1233" s="8" t="s">
        <v>259</v>
      </c>
      <c r="B1233" s="1" t="s">
        <v>236</v>
      </c>
      <c r="C1233" s="1">
        <v>2018</v>
      </c>
      <c r="D1233" s="1">
        <v>3</v>
      </c>
      <c r="E1233" s="1">
        <v>3</v>
      </c>
      <c r="F1233" s="1">
        <v>3</v>
      </c>
      <c r="G1233" s="1">
        <v>0</v>
      </c>
      <c r="H1233" s="5">
        <v>0.59</v>
      </c>
      <c r="I1233" s="2">
        <v>1.0050195203569436</v>
      </c>
      <c r="J1233" s="3">
        <v>8511</v>
      </c>
      <c r="K1233">
        <v>1.4754298256310205</v>
      </c>
      <c r="L1233">
        <v>1.804657968540422</v>
      </c>
      <c r="M1233">
        <v>4.5</v>
      </c>
    </row>
    <row r="1234" spans="1:15" x14ac:dyDescent="0.25">
      <c r="A1234" s="8" t="s">
        <v>260</v>
      </c>
      <c r="B1234" s="1" t="s">
        <v>236</v>
      </c>
      <c r="C1234" s="1">
        <v>2014</v>
      </c>
      <c r="D1234" s="1">
        <v>1</v>
      </c>
      <c r="E1234" s="1">
        <v>1</v>
      </c>
      <c r="F1234" s="1">
        <v>1</v>
      </c>
      <c r="G1234" s="1">
        <v>0</v>
      </c>
      <c r="H1234" s="5">
        <v>0.57999999999999996</v>
      </c>
      <c r="I1234" s="5">
        <v>0.9605981655305329</v>
      </c>
      <c r="J1234" s="3">
        <v>36354</v>
      </c>
      <c r="K1234">
        <v>0.71264952914227542</v>
      </c>
      <c r="L1234">
        <v>9.6773281298605802</v>
      </c>
      <c r="M1234">
        <v>2643.5</v>
      </c>
    </row>
    <row r="1235" spans="1:15" x14ac:dyDescent="0.25">
      <c r="A1235" s="8" t="s">
        <v>260</v>
      </c>
      <c r="B1235" s="1" t="s">
        <v>236</v>
      </c>
      <c r="C1235" s="1">
        <v>2015</v>
      </c>
      <c r="D1235" s="1">
        <v>1</v>
      </c>
      <c r="E1235" s="1">
        <v>1</v>
      </c>
      <c r="F1235" s="1">
        <v>1</v>
      </c>
      <c r="G1235" s="1">
        <v>0</v>
      </c>
      <c r="H1235" s="5">
        <v>0.63</v>
      </c>
      <c r="I1235" s="5">
        <v>1.0118893590236737</v>
      </c>
      <c r="J1235" s="3">
        <v>36425</v>
      </c>
      <c r="K1235">
        <v>0.71264952914227542</v>
      </c>
      <c r="L1235">
        <v>9.6773281298605802</v>
      </c>
      <c r="M1235">
        <v>2648.7</v>
      </c>
    </row>
    <row r="1236" spans="1:15" x14ac:dyDescent="0.25">
      <c r="A1236" t="s">
        <v>260</v>
      </c>
      <c r="B1236" s="1" t="s">
        <v>236</v>
      </c>
      <c r="C1236" s="1">
        <v>2016</v>
      </c>
      <c r="D1236" s="1">
        <v>1</v>
      </c>
      <c r="E1236" s="1">
        <v>1</v>
      </c>
      <c r="F1236" s="1">
        <v>1</v>
      </c>
      <c r="G1236" s="1">
        <v>0</v>
      </c>
      <c r="H1236" s="2">
        <v>0.5</v>
      </c>
      <c r="I1236" s="2">
        <v>1.0102058144273875</v>
      </c>
      <c r="J1236" s="6">
        <v>35361</v>
      </c>
      <c r="K1236" s="7">
        <v>0.71264952914227542</v>
      </c>
      <c r="L1236" s="7">
        <v>9.6773281298605802</v>
      </c>
      <c r="M1236">
        <v>2656.8</v>
      </c>
      <c r="O1236" s="7"/>
    </row>
    <row r="1237" spans="1:15" x14ac:dyDescent="0.25">
      <c r="A1237" t="s">
        <v>260</v>
      </c>
      <c r="B1237" s="1" t="s">
        <v>236</v>
      </c>
      <c r="C1237" s="1">
        <v>2017</v>
      </c>
      <c r="D1237" s="1">
        <v>1</v>
      </c>
      <c r="E1237" s="1">
        <v>1</v>
      </c>
      <c r="F1237" s="1">
        <v>1</v>
      </c>
      <c r="G1237" s="1">
        <v>0</v>
      </c>
      <c r="H1237" s="5">
        <v>0.73</v>
      </c>
      <c r="I1237" s="2">
        <v>1.0318017089470359</v>
      </c>
      <c r="J1237" s="3">
        <v>36681</v>
      </c>
      <c r="K1237">
        <v>0.71264952914227542</v>
      </c>
      <c r="L1237">
        <v>9.6773281298605802</v>
      </c>
      <c r="M1237">
        <v>2667.3</v>
      </c>
    </row>
    <row r="1238" spans="1:15" x14ac:dyDescent="0.25">
      <c r="A1238" s="8" t="s">
        <v>260</v>
      </c>
      <c r="B1238" s="1" t="s">
        <v>236</v>
      </c>
      <c r="C1238" s="1">
        <v>2018</v>
      </c>
      <c r="D1238" s="1">
        <v>1</v>
      </c>
      <c r="E1238" s="1">
        <v>1</v>
      </c>
      <c r="F1238" s="1">
        <v>1</v>
      </c>
      <c r="G1238" s="1">
        <v>0</v>
      </c>
      <c r="H1238" s="2">
        <f>4981/9806</f>
        <v>0.5079543136854987</v>
      </c>
      <c r="I1238" s="2">
        <v>1.0202730140880267</v>
      </c>
      <c r="J1238" s="3">
        <v>37032</v>
      </c>
      <c r="K1238">
        <v>0.71264952914227542</v>
      </c>
      <c r="L1238">
        <v>9.6773281298605802</v>
      </c>
      <c r="M1238">
        <v>2692.8</v>
      </c>
    </row>
    <row r="1239" spans="1:15" x14ac:dyDescent="0.25">
      <c r="A1239" s="8" t="s">
        <v>261</v>
      </c>
      <c r="B1239" s="1" t="s">
        <v>236</v>
      </c>
      <c r="C1239" s="1">
        <v>2014</v>
      </c>
      <c r="D1239" s="1">
        <v>4</v>
      </c>
      <c r="E1239" s="1">
        <v>4</v>
      </c>
      <c r="F1239" s="1">
        <v>4</v>
      </c>
      <c r="G1239" s="1">
        <v>0</v>
      </c>
      <c r="H1239" s="5">
        <v>0.81</v>
      </c>
      <c r="I1239" s="5">
        <v>0.77860067437379576</v>
      </c>
      <c r="J1239" s="3">
        <v>4694</v>
      </c>
      <c r="K1239">
        <v>1.446193109315185</v>
      </c>
      <c r="L1239">
        <v>3.2539344959591663</v>
      </c>
      <c r="M1239">
        <v>1.1000000000000001</v>
      </c>
    </row>
    <row r="1240" spans="1:15" x14ac:dyDescent="0.25">
      <c r="A1240" s="8" t="s">
        <v>261</v>
      </c>
      <c r="B1240" s="1" t="s">
        <v>236</v>
      </c>
      <c r="C1240" s="1">
        <v>2015</v>
      </c>
      <c r="D1240" s="1">
        <v>4</v>
      </c>
      <c r="E1240" s="1">
        <v>4</v>
      </c>
      <c r="F1240" s="1">
        <v>4</v>
      </c>
      <c r="G1240" s="1">
        <v>0</v>
      </c>
      <c r="H1240" s="5">
        <v>1.97</v>
      </c>
      <c r="I1240" s="5">
        <v>1.0901528222824748</v>
      </c>
      <c r="J1240" s="3">
        <v>4761</v>
      </c>
      <c r="K1240">
        <v>1.446193109315185</v>
      </c>
      <c r="L1240">
        <v>3.2539344959591663</v>
      </c>
      <c r="M1240">
        <v>1.1000000000000001</v>
      </c>
    </row>
    <row r="1241" spans="1:15" x14ac:dyDescent="0.25">
      <c r="A1241" t="s">
        <v>261</v>
      </c>
      <c r="B1241" s="1" t="s">
        <v>236</v>
      </c>
      <c r="C1241" s="1">
        <v>2016</v>
      </c>
      <c r="D1241" s="1">
        <v>4</v>
      </c>
      <c r="E1241" s="1">
        <v>4</v>
      </c>
      <c r="F1241" s="1">
        <v>4</v>
      </c>
      <c r="G1241" s="1">
        <v>0</v>
      </c>
      <c r="H1241" s="2">
        <v>0.33</v>
      </c>
      <c r="I1241" s="2">
        <v>0.81395055499495461</v>
      </c>
      <c r="J1241" s="6">
        <v>4702</v>
      </c>
      <c r="K1241" s="7">
        <v>1.446193109315185</v>
      </c>
      <c r="L1241" s="7">
        <v>3.2539344959591663</v>
      </c>
      <c r="M1241">
        <v>1.1000000000000001</v>
      </c>
      <c r="O1241" s="7"/>
    </row>
    <row r="1242" spans="1:15" x14ac:dyDescent="0.25">
      <c r="A1242" t="s">
        <v>261</v>
      </c>
      <c r="B1242" s="1" t="s">
        <v>236</v>
      </c>
      <c r="C1242" s="1">
        <v>2017</v>
      </c>
      <c r="D1242" s="1">
        <v>4</v>
      </c>
      <c r="E1242" s="1">
        <v>4</v>
      </c>
      <c r="F1242" s="1">
        <v>4</v>
      </c>
      <c r="G1242" s="1">
        <v>0</v>
      </c>
      <c r="H1242" s="5">
        <f>2144/3576</f>
        <v>0.59955257270693507</v>
      </c>
      <c r="I1242" s="2">
        <v>0.93271721214975278</v>
      </c>
      <c r="J1242" s="3">
        <v>4877</v>
      </c>
      <c r="K1242">
        <v>1.446193109315185</v>
      </c>
      <c r="L1242">
        <v>3.2539344959591663</v>
      </c>
      <c r="M1242">
        <v>1.1000000000000001</v>
      </c>
    </row>
    <row r="1243" spans="1:15" x14ac:dyDescent="0.25">
      <c r="A1243" s="8" t="s">
        <v>261</v>
      </c>
      <c r="B1243" s="1" t="s">
        <v>236</v>
      </c>
      <c r="C1243" s="1">
        <v>2018</v>
      </c>
      <c r="D1243" s="1">
        <v>4</v>
      </c>
      <c r="E1243" s="1">
        <v>4</v>
      </c>
      <c r="F1243" s="1">
        <v>4</v>
      </c>
      <c r="G1243" s="1">
        <v>0</v>
      </c>
      <c r="H1243" s="5">
        <v>1.55</v>
      </c>
      <c r="I1243" s="2">
        <v>0.91806172764351368</v>
      </c>
      <c r="J1243" s="3">
        <v>4933</v>
      </c>
      <c r="K1243">
        <v>1.446193109315185</v>
      </c>
      <c r="L1243">
        <v>3.2539344959591663</v>
      </c>
      <c r="M1243">
        <v>1.1000000000000001</v>
      </c>
    </row>
    <row r="1244" spans="1:15" x14ac:dyDescent="0.25">
      <c r="A1244" s="8" t="s">
        <v>262</v>
      </c>
      <c r="B1244" s="1" t="s">
        <v>236</v>
      </c>
      <c r="C1244" s="1">
        <v>2014</v>
      </c>
      <c r="D1244" s="1">
        <v>3</v>
      </c>
      <c r="E1244" s="1">
        <v>3</v>
      </c>
      <c r="F1244" s="1">
        <v>3</v>
      </c>
      <c r="G1244" s="1">
        <v>0</v>
      </c>
      <c r="H1244" s="5">
        <v>0.98</v>
      </c>
      <c r="I1244" s="5">
        <v>0.99514877102199228</v>
      </c>
      <c r="J1244" s="3">
        <v>1103</v>
      </c>
      <c r="K1244">
        <v>1.1029411764705883</v>
      </c>
      <c r="L1244">
        <v>1.6544117647058825</v>
      </c>
      <c r="M1244">
        <v>0.2</v>
      </c>
    </row>
    <row r="1245" spans="1:15" x14ac:dyDescent="0.25">
      <c r="A1245" s="8" t="s">
        <v>262</v>
      </c>
      <c r="B1245" s="1" t="s">
        <v>236</v>
      </c>
      <c r="C1245" s="1">
        <v>2015</v>
      </c>
      <c r="D1245" s="1">
        <v>3</v>
      </c>
      <c r="E1245" s="1">
        <v>3</v>
      </c>
      <c r="F1245" s="1">
        <v>3</v>
      </c>
      <c r="G1245" s="1">
        <v>0</v>
      </c>
      <c r="H1245" s="5">
        <v>0.64</v>
      </c>
      <c r="I1245" s="5">
        <v>1.5611729019211324</v>
      </c>
      <c r="J1245" s="3">
        <v>1118</v>
      </c>
      <c r="K1245">
        <v>1.1029411764705883</v>
      </c>
      <c r="L1245">
        <v>1.6544117647058825</v>
      </c>
      <c r="M1245">
        <v>0.3</v>
      </c>
    </row>
    <row r="1246" spans="1:15" x14ac:dyDescent="0.25">
      <c r="A1246" t="s">
        <v>262</v>
      </c>
      <c r="B1246" s="1" t="s">
        <v>236</v>
      </c>
      <c r="C1246" s="1">
        <v>2016</v>
      </c>
      <c r="D1246" s="1">
        <v>3</v>
      </c>
      <c r="E1246" s="1">
        <v>3</v>
      </c>
      <c r="F1246" s="1">
        <v>3</v>
      </c>
      <c r="G1246" s="1">
        <v>0</v>
      </c>
      <c r="H1246" s="5">
        <v>1.22</v>
      </c>
      <c r="I1246" s="2">
        <v>1.0009313877677739</v>
      </c>
      <c r="J1246" s="6">
        <v>1088</v>
      </c>
      <c r="K1246" s="7">
        <v>1.1029411764705883</v>
      </c>
      <c r="L1246" s="7">
        <v>1.6544117647058825</v>
      </c>
      <c r="M1246">
        <v>0.3</v>
      </c>
      <c r="O1246" s="7"/>
    </row>
    <row r="1247" spans="1:15" x14ac:dyDescent="0.25">
      <c r="A1247" t="s">
        <v>262</v>
      </c>
      <c r="B1247" s="1" t="s">
        <v>236</v>
      </c>
      <c r="C1247" s="1">
        <v>2017</v>
      </c>
      <c r="D1247" s="1">
        <v>3</v>
      </c>
      <c r="E1247" s="1">
        <v>3</v>
      </c>
      <c r="F1247" s="1">
        <v>3</v>
      </c>
      <c r="G1247" s="1">
        <v>0</v>
      </c>
      <c r="H1247" s="5">
        <v>0.85</v>
      </c>
      <c r="I1247" s="2">
        <v>1.1812981845312112</v>
      </c>
      <c r="J1247" s="3">
        <v>1127</v>
      </c>
      <c r="K1247">
        <v>1.1029411764705883</v>
      </c>
      <c r="L1247">
        <v>1.6544117647058825</v>
      </c>
      <c r="M1247">
        <v>0.3</v>
      </c>
    </row>
    <row r="1248" spans="1:15" x14ac:dyDescent="0.25">
      <c r="A1248" s="8" t="s">
        <v>262</v>
      </c>
      <c r="B1248" s="1" t="s">
        <v>236</v>
      </c>
      <c r="C1248" s="1">
        <v>2018</v>
      </c>
      <c r="D1248" s="1">
        <v>3</v>
      </c>
      <c r="E1248" s="1">
        <v>3</v>
      </c>
      <c r="F1248" s="1">
        <v>3</v>
      </c>
      <c r="G1248" s="1">
        <v>0</v>
      </c>
      <c r="H1248" s="2">
        <f>1287/1904</f>
        <v>0.67594537815126055</v>
      </c>
      <c r="I1248" s="2">
        <v>0.76838143036386453</v>
      </c>
      <c r="J1248" s="3">
        <v>1112</v>
      </c>
      <c r="K1248">
        <v>1.1029411764705883</v>
      </c>
      <c r="L1248">
        <v>1.6544117647058825</v>
      </c>
      <c r="M1248">
        <v>0.3</v>
      </c>
    </row>
    <row r="1249" spans="1:15" x14ac:dyDescent="0.25">
      <c r="A1249" s="8" t="s">
        <v>263</v>
      </c>
      <c r="B1249" s="1" t="s">
        <v>236</v>
      </c>
      <c r="C1249" s="1">
        <v>2014</v>
      </c>
      <c r="D1249" s="1">
        <v>4</v>
      </c>
      <c r="E1249" s="1">
        <v>4</v>
      </c>
      <c r="F1249" s="1">
        <v>4</v>
      </c>
      <c r="G1249" s="1">
        <v>0</v>
      </c>
      <c r="H1249" s="5">
        <v>0.84</v>
      </c>
      <c r="I1249" s="5">
        <v>0.8737300435413643</v>
      </c>
      <c r="J1249" s="3">
        <v>1097</v>
      </c>
      <c r="K1249">
        <v>1.2322274881516588</v>
      </c>
      <c r="L1249">
        <v>2.1800947867298577</v>
      </c>
      <c r="M1249">
        <v>0.2</v>
      </c>
    </row>
    <row r="1250" spans="1:15" x14ac:dyDescent="0.25">
      <c r="A1250" s="8" t="s">
        <v>263</v>
      </c>
      <c r="B1250" s="1" t="s">
        <v>236</v>
      </c>
      <c r="C1250" s="1">
        <v>2015</v>
      </c>
      <c r="D1250" s="1">
        <v>4</v>
      </c>
      <c r="E1250" s="1">
        <v>4</v>
      </c>
      <c r="F1250" s="1">
        <v>4</v>
      </c>
      <c r="G1250" s="1">
        <v>0</v>
      </c>
      <c r="H1250" s="5">
        <v>0.77</v>
      </c>
      <c r="I1250" s="5">
        <v>1.0566421132842265</v>
      </c>
      <c r="J1250" s="3">
        <v>1089</v>
      </c>
      <c r="K1250">
        <v>1.2322274881516588</v>
      </c>
      <c r="L1250">
        <v>2.1800947867298577</v>
      </c>
      <c r="M1250">
        <v>0.2</v>
      </c>
    </row>
    <row r="1251" spans="1:15" x14ac:dyDescent="0.25">
      <c r="A1251" t="s">
        <v>263</v>
      </c>
      <c r="B1251" s="1" t="s">
        <v>236</v>
      </c>
      <c r="C1251" s="1">
        <v>2016</v>
      </c>
      <c r="D1251" s="1">
        <v>4</v>
      </c>
      <c r="E1251" s="1">
        <v>4</v>
      </c>
      <c r="F1251" s="1">
        <v>4</v>
      </c>
      <c r="G1251" s="1">
        <v>0</v>
      </c>
      <c r="H1251" s="5">
        <v>1.03</v>
      </c>
      <c r="I1251" s="2">
        <v>0.93000282246683597</v>
      </c>
      <c r="J1251" s="6">
        <v>1055</v>
      </c>
      <c r="K1251" s="7">
        <v>1.2322274881516588</v>
      </c>
      <c r="L1251" s="7">
        <v>2.1800947867298577</v>
      </c>
      <c r="M1251">
        <v>0.2</v>
      </c>
      <c r="O1251" s="7"/>
    </row>
    <row r="1252" spans="1:15" x14ac:dyDescent="0.25">
      <c r="A1252" t="s">
        <v>263</v>
      </c>
      <c r="B1252" s="1" t="s">
        <v>236</v>
      </c>
      <c r="C1252" s="1">
        <v>2017</v>
      </c>
      <c r="D1252" s="1">
        <v>4</v>
      </c>
      <c r="E1252" s="1">
        <v>4</v>
      </c>
      <c r="F1252" s="1">
        <v>4</v>
      </c>
      <c r="G1252" s="1">
        <v>0</v>
      </c>
      <c r="H1252" s="5">
        <v>1.23</v>
      </c>
      <c r="I1252" s="2">
        <v>1.305184393372528</v>
      </c>
      <c r="J1252" s="3">
        <v>1074</v>
      </c>
      <c r="K1252">
        <v>1.2322274881516588</v>
      </c>
      <c r="L1252">
        <v>2.1800947867298577</v>
      </c>
      <c r="M1252">
        <v>0.2</v>
      </c>
    </row>
    <row r="1253" spans="1:15" x14ac:dyDescent="0.25">
      <c r="A1253" s="8" t="s">
        <v>263</v>
      </c>
      <c r="B1253" s="1" t="s">
        <v>236</v>
      </c>
      <c r="C1253" s="1">
        <v>2018</v>
      </c>
      <c r="D1253" s="1">
        <v>4</v>
      </c>
      <c r="E1253" s="1">
        <v>4</v>
      </c>
      <c r="F1253" s="1">
        <v>4</v>
      </c>
      <c r="G1253" s="1">
        <v>0</v>
      </c>
      <c r="H1253" s="5">
        <v>0.84</v>
      </c>
      <c r="I1253" s="2">
        <v>1.0848641655886158</v>
      </c>
      <c r="J1253" s="3">
        <v>1073</v>
      </c>
      <c r="K1253">
        <v>1.2322274881516588</v>
      </c>
      <c r="L1253">
        <v>2.1800947867298577</v>
      </c>
      <c r="M1253">
        <v>0.2</v>
      </c>
    </row>
    <row r="1254" spans="1:15" x14ac:dyDescent="0.25">
      <c r="A1254" s="8" t="s">
        <v>264</v>
      </c>
      <c r="B1254" s="1" t="s">
        <v>236</v>
      </c>
      <c r="C1254" s="1">
        <v>2014</v>
      </c>
      <c r="D1254" s="1">
        <v>3</v>
      </c>
      <c r="E1254" s="1">
        <v>4</v>
      </c>
      <c r="F1254" s="1">
        <v>3.5</v>
      </c>
      <c r="G1254" s="1">
        <v>1</v>
      </c>
      <c r="H1254" s="5">
        <v>0.91</v>
      </c>
      <c r="I1254" s="5">
        <v>0.98442241553712317</v>
      </c>
      <c r="J1254" s="3">
        <v>2392</v>
      </c>
      <c r="K1254">
        <v>1.8321261184490838</v>
      </c>
      <c r="L1254">
        <v>0.68172134639965909</v>
      </c>
      <c r="M1254">
        <v>0.7</v>
      </c>
    </row>
    <row r="1255" spans="1:15" x14ac:dyDescent="0.25">
      <c r="A1255" s="8" t="s">
        <v>264</v>
      </c>
      <c r="B1255" s="1" t="s">
        <v>236</v>
      </c>
      <c r="C1255" s="1">
        <v>2015</v>
      </c>
      <c r="D1255" s="1">
        <v>3</v>
      </c>
      <c r="E1255" s="1">
        <v>4</v>
      </c>
      <c r="F1255" s="1">
        <v>3.5</v>
      </c>
      <c r="G1255" s="1">
        <v>1</v>
      </c>
      <c r="H1255" s="5">
        <f>1334/1417</f>
        <v>0.94142554693013414</v>
      </c>
      <c r="I1255" s="5">
        <v>1.0513061454613795</v>
      </c>
      <c r="J1255" s="3">
        <v>2403</v>
      </c>
      <c r="K1255">
        <v>1.8321261184490838</v>
      </c>
      <c r="L1255">
        <v>0.68172134639965909</v>
      </c>
      <c r="M1255">
        <v>0.7</v>
      </c>
    </row>
    <row r="1256" spans="1:15" x14ac:dyDescent="0.25">
      <c r="A1256" t="s">
        <v>264</v>
      </c>
      <c r="B1256" s="1" t="s">
        <v>236</v>
      </c>
      <c r="C1256" s="1">
        <v>2016</v>
      </c>
      <c r="D1256" s="1">
        <v>3</v>
      </c>
      <c r="E1256" s="1">
        <v>4</v>
      </c>
      <c r="F1256" s="1">
        <v>3.5</v>
      </c>
      <c r="G1256" s="1">
        <v>1</v>
      </c>
      <c r="H1256" s="2">
        <v>0.93</v>
      </c>
      <c r="I1256" s="2">
        <v>0.97892857142857148</v>
      </c>
      <c r="J1256" s="6">
        <v>2347</v>
      </c>
      <c r="K1256" s="7">
        <v>1.8321261184490838</v>
      </c>
      <c r="L1256" s="7">
        <v>0.68172134639965909</v>
      </c>
      <c r="M1256">
        <v>0.7</v>
      </c>
      <c r="O1256" s="7"/>
    </row>
    <row r="1257" spans="1:15" x14ac:dyDescent="0.25">
      <c r="A1257" t="s">
        <v>264</v>
      </c>
      <c r="B1257" s="1" t="s">
        <v>236</v>
      </c>
      <c r="C1257" s="1">
        <v>2017</v>
      </c>
      <c r="D1257" s="1">
        <v>3</v>
      </c>
      <c r="E1257" s="1">
        <v>4</v>
      </c>
      <c r="F1257" s="1">
        <v>3.5</v>
      </c>
      <c r="G1257" s="1">
        <v>1</v>
      </c>
      <c r="H1257" s="5">
        <v>0.56999999999999995</v>
      </c>
      <c r="I1257" s="2">
        <v>1.036904761904762</v>
      </c>
      <c r="J1257" s="3">
        <v>2406</v>
      </c>
      <c r="K1257">
        <v>1.8321261184490838</v>
      </c>
      <c r="L1257">
        <v>0.68172134639965909</v>
      </c>
      <c r="M1257">
        <v>0.7</v>
      </c>
    </row>
    <row r="1258" spans="1:15" x14ac:dyDescent="0.25">
      <c r="A1258" s="8" t="s">
        <v>264</v>
      </c>
      <c r="B1258" s="1" t="s">
        <v>236</v>
      </c>
      <c r="C1258" s="1">
        <v>2018</v>
      </c>
      <c r="D1258" s="1">
        <v>3</v>
      </c>
      <c r="E1258" s="1">
        <v>4</v>
      </c>
      <c r="F1258" s="1">
        <v>3.5</v>
      </c>
      <c r="G1258" s="1">
        <v>1</v>
      </c>
      <c r="H1258" s="5">
        <v>0.56999999999999995</v>
      </c>
      <c r="I1258" s="2">
        <v>1.0165812481157672</v>
      </c>
      <c r="J1258" s="3">
        <v>2374</v>
      </c>
      <c r="K1258">
        <v>1.8321261184490838</v>
      </c>
      <c r="L1258">
        <v>0.68172134639965909</v>
      </c>
      <c r="M1258">
        <v>0.7</v>
      </c>
    </row>
    <row r="1259" spans="1:15" x14ac:dyDescent="0.25">
      <c r="A1259" s="8" t="s">
        <v>265</v>
      </c>
      <c r="B1259" s="1" t="s">
        <v>236</v>
      </c>
      <c r="C1259" s="1">
        <v>2014</v>
      </c>
      <c r="D1259" s="1">
        <v>1</v>
      </c>
      <c r="E1259" s="1">
        <v>2</v>
      </c>
      <c r="F1259" s="1">
        <v>1.5</v>
      </c>
      <c r="G1259" s="1">
        <v>1</v>
      </c>
      <c r="H1259" s="5">
        <v>0.64</v>
      </c>
      <c r="I1259" s="5">
        <v>0.93755902449863893</v>
      </c>
      <c r="J1259" s="3">
        <v>14644</v>
      </c>
      <c r="K1259">
        <v>0.98418516256023902</v>
      </c>
      <c r="L1259">
        <v>2.3348944546256702</v>
      </c>
      <c r="M1259">
        <v>11.5</v>
      </c>
    </row>
    <row r="1260" spans="1:15" x14ac:dyDescent="0.25">
      <c r="A1260" s="8" t="s">
        <v>265</v>
      </c>
      <c r="B1260" s="1" t="s">
        <v>236</v>
      </c>
      <c r="C1260" s="1">
        <v>2015</v>
      </c>
      <c r="D1260" s="1">
        <v>1</v>
      </c>
      <c r="E1260" s="1">
        <v>2</v>
      </c>
      <c r="F1260" s="1">
        <v>1.5</v>
      </c>
      <c r="G1260" s="1">
        <v>1</v>
      </c>
      <c r="H1260" s="5">
        <v>0.84</v>
      </c>
      <c r="I1260" s="5">
        <v>0.98727707698999567</v>
      </c>
      <c r="J1260" s="3">
        <v>14890</v>
      </c>
      <c r="K1260">
        <v>0.98418516256023902</v>
      </c>
      <c r="L1260">
        <v>2.3348944546256702</v>
      </c>
      <c r="M1260">
        <v>11.7</v>
      </c>
    </row>
    <row r="1261" spans="1:15" x14ac:dyDescent="0.25">
      <c r="A1261" t="s">
        <v>265</v>
      </c>
      <c r="B1261" s="1" t="s">
        <v>236</v>
      </c>
      <c r="C1261" s="1">
        <v>2016</v>
      </c>
      <c r="D1261" s="1">
        <v>1</v>
      </c>
      <c r="E1261" s="1">
        <v>2</v>
      </c>
      <c r="F1261" s="1">
        <v>1.5</v>
      </c>
      <c r="G1261" s="1">
        <v>1</v>
      </c>
      <c r="H1261" s="2">
        <v>1.31</v>
      </c>
      <c r="I1261" s="2">
        <v>1.0021443122118581</v>
      </c>
      <c r="J1261" s="6">
        <v>14733</v>
      </c>
      <c r="K1261" s="7">
        <v>0.98418516256023902</v>
      </c>
      <c r="L1261" s="7">
        <v>2.3348944546256702</v>
      </c>
      <c r="M1261">
        <v>11.8</v>
      </c>
      <c r="O1261" s="7"/>
    </row>
    <row r="1262" spans="1:15" x14ac:dyDescent="0.25">
      <c r="A1262" t="s">
        <v>265</v>
      </c>
      <c r="B1262" s="1" t="s">
        <v>236</v>
      </c>
      <c r="C1262" s="1">
        <v>2017</v>
      </c>
      <c r="D1262" s="1">
        <v>1</v>
      </c>
      <c r="E1262" s="1">
        <v>2</v>
      </c>
      <c r="F1262" s="1">
        <v>1.5</v>
      </c>
      <c r="G1262" s="1">
        <v>1</v>
      </c>
      <c r="H1262" s="5">
        <v>1.02</v>
      </c>
      <c r="I1262" s="2">
        <v>1.0251158254084369</v>
      </c>
      <c r="J1262" s="3">
        <v>15219</v>
      </c>
      <c r="K1262">
        <v>0.98418516256023902</v>
      </c>
      <c r="L1262">
        <v>2.3348944546256702</v>
      </c>
      <c r="M1262">
        <v>11.9</v>
      </c>
    </row>
    <row r="1263" spans="1:15" x14ac:dyDescent="0.25">
      <c r="A1263" s="8" t="s">
        <v>265</v>
      </c>
      <c r="B1263" s="1" t="s">
        <v>236</v>
      </c>
      <c r="C1263" s="1">
        <v>2018</v>
      </c>
      <c r="D1263" s="1">
        <v>1</v>
      </c>
      <c r="E1263" s="1">
        <v>2</v>
      </c>
      <c r="F1263" s="1">
        <v>1.5</v>
      </c>
      <c r="G1263" s="1">
        <v>1</v>
      </c>
      <c r="H1263" s="5">
        <v>2.2999999999999998</v>
      </c>
      <c r="I1263" s="2">
        <v>1.0702020202020202</v>
      </c>
      <c r="J1263" s="3">
        <v>15339</v>
      </c>
      <c r="K1263">
        <v>0.98418516256023902</v>
      </c>
      <c r="L1263">
        <v>2.3348944546256702</v>
      </c>
      <c r="M1263">
        <v>12</v>
      </c>
    </row>
    <row r="1264" spans="1:15" x14ac:dyDescent="0.25">
      <c r="A1264" s="8" t="s">
        <v>266</v>
      </c>
      <c r="B1264" s="1" t="s">
        <v>236</v>
      </c>
      <c r="C1264" s="1">
        <v>2014</v>
      </c>
      <c r="D1264" s="1">
        <v>4</v>
      </c>
      <c r="E1264" s="1">
        <v>4</v>
      </c>
      <c r="F1264" s="1">
        <v>4</v>
      </c>
      <c r="G1264" s="1">
        <v>0</v>
      </c>
      <c r="H1264" s="5">
        <v>0.23</v>
      </c>
      <c r="I1264" s="5">
        <v>0.96509756588211626</v>
      </c>
      <c r="J1264" s="3">
        <v>5426</v>
      </c>
      <c r="K1264">
        <v>3.1959324496095878</v>
      </c>
      <c r="L1264">
        <v>1.0713637189032141</v>
      </c>
      <c r="M1264">
        <v>1.1000000000000001</v>
      </c>
    </row>
    <row r="1265" spans="1:15" x14ac:dyDescent="0.25">
      <c r="A1265" s="8" t="s">
        <v>266</v>
      </c>
      <c r="B1265" s="1" t="s">
        <v>236</v>
      </c>
      <c r="C1265" s="1">
        <v>2015</v>
      </c>
      <c r="D1265" s="1">
        <v>4</v>
      </c>
      <c r="E1265" s="1">
        <v>4</v>
      </c>
      <c r="F1265" s="1">
        <v>4</v>
      </c>
      <c r="G1265" s="1">
        <v>0</v>
      </c>
      <c r="H1265" s="5">
        <v>0.73</v>
      </c>
      <c r="I1265" s="5">
        <v>1.0721350784294135</v>
      </c>
      <c r="J1265" s="3">
        <v>5540</v>
      </c>
      <c r="K1265">
        <v>3.1959324496095878</v>
      </c>
      <c r="L1265">
        <v>1.0713637189032141</v>
      </c>
      <c r="M1265">
        <v>1.2</v>
      </c>
    </row>
    <row r="1266" spans="1:15" x14ac:dyDescent="0.25">
      <c r="A1266" t="s">
        <v>266</v>
      </c>
      <c r="B1266" s="1" t="s">
        <v>236</v>
      </c>
      <c r="C1266" s="1">
        <v>2016</v>
      </c>
      <c r="D1266" s="1">
        <v>4</v>
      </c>
      <c r="E1266" s="1">
        <v>4</v>
      </c>
      <c r="F1266" s="1">
        <v>4</v>
      </c>
      <c r="G1266" s="1">
        <v>0</v>
      </c>
      <c r="H1266" s="5">
        <v>1</v>
      </c>
      <c r="I1266" s="2">
        <v>1.0201050717316629</v>
      </c>
      <c r="J1266" s="6">
        <v>5507</v>
      </c>
      <c r="K1266" s="7">
        <v>3.1959324496095878</v>
      </c>
      <c r="L1266" s="7">
        <v>1.0713637189032141</v>
      </c>
      <c r="M1266">
        <v>1.2</v>
      </c>
      <c r="O1266" s="7"/>
    </row>
    <row r="1267" spans="1:15" x14ac:dyDescent="0.25">
      <c r="A1267" t="s">
        <v>266</v>
      </c>
      <c r="B1267" s="1" t="s">
        <v>236</v>
      </c>
      <c r="C1267" s="1">
        <v>2017</v>
      </c>
      <c r="D1267" s="1">
        <v>4</v>
      </c>
      <c r="E1267" s="1">
        <v>4</v>
      </c>
      <c r="F1267" s="1">
        <v>4</v>
      </c>
      <c r="G1267" s="1">
        <v>0</v>
      </c>
      <c r="H1267" s="5">
        <v>0.94</v>
      </c>
      <c r="I1267" s="2">
        <v>1.087063267233239</v>
      </c>
      <c r="J1267" s="3">
        <v>5720</v>
      </c>
      <c r="K1267">
        <v>3.1959324496095878</v>
      </c>
      <c r="L1267">
        <v>1.0713637189032141</v>
      </c>
      <c r="M1267">
        <v>1.2</v>
      </c>
    </row>
    <row r="1268" spans="1:15" x14ac:dyDescent="0.25">
      <c r="A1268" s="8" t="s">
        <v>266</v>
      </c>
      <c r="B1268" s="1" t="s">
        <v>236</v>
      </c>
      <c r="C1268" s="1">
        <v>2018</v>
      </c>
      <c r="D1268" s="1">
        <v>4</v>
      </c>
      <c r="E1268" s="1">
        <v>4</v>
      </c>
      <c r="F1268" s="1">
        <v>4</v>
      </c>
      <c r="G1268" s="1">
        <v>0</v>
      </c>
      <c r="H1268" s="5">
        <v>0.71</v>
      </c>
      <c r="I1268" s="2">
        <v>1.0473553032400997</v>
      </c>
      <c r="J1268" s="3">
        <v>5761</v>
      </c>
      <c r="K1268">
        <v>3.1959324496095878</v>
      </c>
      <c r="L1268">
        <v>1.0713637189032141</v>
      </c>
      <c r="M1268">
        <v>1.2</v>
      </c>
    </row>
    <row r="1269" spans="1:15" x14ac:dyDescent="0.25">
      <c r="A1269" s="8" t="s">
        <v>267</v>
      </c>
      <c r="B1269" s="1" t="s">
        <v>236</v>
      </c>
      <c r="C1269" s="1">
        <v>2014</v>
      </c>
      <c r="D1269" s="1">
        <v>3</v>
      </c>
      <c r="E1269" s="1">
        <v>3</v>
      </c>
      <c r="F1269" s="1">
        <v>3</v>
      </c>
      <c r="G1269" s="1">
        <v>0</v>
      </c>
      <c r="H1269" s="5">
        <v>0.91</v>
      </c>
      <c r="I1269" s="5">
        <v>0.99503643468159253</v>
      </c>
      <c r="J1269" s="3">
        <v>11671</v>
      </c>
      <c r="K1269">
        <v>2.3168713526696281</v>
      </c>
      <c r="L1269">
        <v>4.3985715530006093</v>
      </c>
      <c r="M1269">
        <v>1.5</v>
      </c>
    </row>
    <row r="1270" spans="1:15" x14ac:dyDescent="0.25">
      <c r="A1270" s="8" t="s">
        <v>267</v>
      </c>
      <c r="B1270" s="1" t="s">
        <v>236</v>
      </c>
      <c r="C1270" s="1">
        <v>2015</v>
      </c>
      <c r="D1270" s="1">
        <v>3</v>
      </c>
      <c r="E1270" s="1">
        <v>3</v>
      </c>
      <c r="F1270" s="1">
        <v>3</v>
      </c>
      <c r="G1270" s="1">
        <v>0</v>
      </c>
      <c r="H1270" s="5">
        <v>0.92</v>
      </c>
      <c r="I1270" s="5">
        <v>1.118214899423835</v>
      </c>
      <c r="J1270" s="3">
        <v>11716</v>
      </c>
      <c r="K1270">
        <v>2.3168713526696281</v>
      </c>
      <c r="L1270">
        <v>4.3985715530006093</v>
      </c>
      <c r="M1270">
        <v>1.5</v>
      </c>
    </row>
    <row r="1271" spans="1:15" x14ac:dyDescent="0.25">
      <c r="A1271" t="s">
        <v>267</v>
      </c>
      <c r="B1271" s="1" t="s">
        <v>236</v>
      </c>
      <c r="C1271" s="1">
        <v>2016</v>
      </c>
      <c r="D1271" s="1">
        <v>3</v>
      </c>
      <c r="E1271" s="1">
        <v>3</v>
      </c>
      <c r="F1271" s="1">
        <v>3</v>
      </c>
      <c r="G1271" s="1">
        <v>0</v>
      </c>
      <c r="H1271" s="2">
        <v>1.75</v>
      </c>
      <c r="I1271" s="2">
        <v>0.92571758257608538</v>
      </c>
      <c r="J1271" s="6">
        <v>11481</v>
      </c>
      <c r="K1271" s="7">
        <v>2.3168713526696281</v>
      </c>
      <c r="L1271" s="7">
        <v>4.3985715530006093</v>
      </c>
      <c r="M1271">
        <v>1.5</v>
      </c>
      <c r="O1271" s="7"/>
    </row>
    <row r="1272" spans="1:15" x14ac:dyDescent="0.25">
      <c r="A1272" t="s">
        <v>267</v>
      </c>
      <c r="B1272" s="1" t="s">
        <v>236</v>
      </c>
      <c r="C1272" s="1">
        <v>2017</v>
      </c>
      <c r="D1272" s="1">
        <v>3</v>
      </c>
      <c r="E1272" s="1">
        <v>3</v>
      </c>
      <c r="F1272" s="1">
        <v>3</v>
      </c>
      <c r="G1272" s="1">
        <v>0</v>
      </c>
      <c r="H1272" s="5">
        <v>0.73</v>
      </c>
      <c r="I1272" s="2">
        <v>1.1546175940801324</v>
      </c>
      <c r="J1272" s="3">
        <v>11743</v>
      </c>
      <c r="K1272">
        <v>2.3168713526696281</v>
      </c>
      <c r="L1272">
        <v>4.3985715530006093</v>
      </c>
      <c r="M1272">
        <v>1.5</v>
      </c>
    </row>
    <row r="1273" spans="1:15" x14ac:dyDescent="0.25">
      <c r="A1273" s="8" t="s">
        <v>267</v>
      </c>
      <c r="B1273" s="1" t="s">
        <v>236</v>
      </c>
      <c r="C1273" s="1">
        <v>2018</v>
      </c>
      <c r="D1273" s="1">
        <v>3</v>
      </c>
      <c r="E1273" s="1">
        <v>3</v>
      </c>
      <c r="F1273" s="1">
        <v>3</v>
      </c>
      <c r="G1273" s="1">
        <v>0</v>
      </c>
      <c r="H1273" s="5">
        <v>0.74</v>
      </c>
      <c r="I1273" s="2">
        <v>1.0657138718555357</v>
      </c>
      <c r="J1273" s="3">
        <v>11726</v>
      </c>
      <c r="K1273">
        <v>2.3168713526696281</v>
      </c>
      <c r="L1273">
        <v>4.3985715530006093</v>
      </c>
      <c r="M1273">
        <v>1.5</v>
      </c>
    </row>
    <row r="1274" spans="1:15" x14ac:dyDescent="0.25">
      <c r="A1274" s="8" t="s">
        <v>268</v>
      </c>
      <c r="B1274" s="1" t="s">
        <v>236</v>
      </c>
      <c r="C1274" s="1">
        <v>2014</v>
      </c>
      <c r="D1274" s="1">
        <v>5</v>
      </c>
      <c r="E1274" s="1">
        <v>5</v>
      </c>
      <c r="F1274" s="1">
        <v>5</v>
      </c>
      <c r="G1274" s="1">
        <v>0</v>
      </c>
      <c r="H1274" s="2">
        <f>137272/108338</f>
        <v>1.2670715723015009</v>
      </c>
      <c r="I1274" s="5">
        <f>1950107/(1950107+23644)</f>
        <v>0.98802077871018179</v>
      </c>
      <c r="J1274" s="3">
        <v>70</v>
      </c>
      <c r="K1274">
        <v>79.7</v>
      </c>
      <c r="L1274">
        <v>11.9</v>
      </c>
      <c r="M1274">
        <v>0</v>
      </c>
    </row>
    <row r="1275" spans="1:15" x14ac:dyDescent="0.25">
      <c r="A1275" s="8" t="s">
        <v>268</v>
      </c>
      <c r="B1275" s="1" t="s">
        <v>236</v>
      </c>
      <c r="C1275" s="1">
        <v>2015</v>
      </c>
      <c r="D1275" s="1">
        <v>5</v>
      </c>
      <c r="E1275" s="1">
        <v>5</v>
      </c>
      <c r="F1275" s="1">
        <v>5</v>
      </c>
      <c r="G1275" s="1">
        <v>0</v>
      </c>
      <c r="H1275" s="2">
        <f>165981/89045</f>
        <v>1.8640125779100454</v>
      </c>
      <c r="I1275" s="2">
        <f>2183989/(2183989+183840)</f>
        <v>0.92235925820656817</v>
      </c>
      <c r="J1275" s="3">
        <v>66</v>
      </c>
      <c r="K1275">
        <v>79.7</v>
      </c>
      <c r="L1275">
        <v>11.9</v>
      </c>
      <c r="M1275">
        <v>0</v>
      </c>
    </row>
    <row r="1276" spans="1:15" x14ac:dyDescent="0.25">
      <c r="A1276" t="s">
        <v>268</v>
      </c>
      <c r="B1276" s="1" t="s">
        <v>236</v>
      </c>
      <c r="C1276" s="1">
        <v>2016</v>
      </c>
      <c r="D1276" s="1">
        <v>5</v>
      </c>
      <c r="E1276" s="1">
        <v>5</v>
      </c>
      <c r="F1276" s="1">
        <v>5</v>
      </c>
      <c r="G1276" s="1">
        <v>0</v>
      </c>
      <c r="H1276" s="5">
        <f>656374/106831</f>
        <v>6.1440405874699291</v>
      </c>
      <c r="I1276" s="2">
        <f>2205521/(2205521-139009)</f>
        <v>1.0672674535642668</v>
      </c>
      <c r="J1276" s="3">
        <v>62</v>
      </c>
      <c r="K1276" s="11">
        <v>79.7</v>
      </c>
      <c r="L1276" s="11">
        <v>11.9</v>
      </c>
      <c r="M1276">
        <v>0</v>
      </c>
      <c r="O1276" s="7"/>
    </row>
    <row r="1277" spans="1:15" x14ac:dyDescent="0.25">
      <c r="A1277" t="s">
        <v>268</v>
      </c>
      <c r="B1277" s="1" t="s">
        <v>236</v>
      </c>
      <c r="C1277" s="1">
        <v>2017</v>
      </c>
      <c r="D1277" s="1">
        <v>5</v>
      </c>
      <c r="E1277" s="1">
        <v>5</v>
      </c>
      <c r="F1277" s="1">
        <v>5</v>
      </c>
      <c r="G1277" s="1">
        <v>0</v>
      </c>
      <c r="H1277" s="5">
        <f>66081/144221</f>
        <v>0.45819263491447154</v>
      </c>
      <c r="I1277" s="5">
        <f>2017925/(2017925+61697)</f>
        <v>0.97033258928786092</v>
      </c>
      <c r="J1277" s="3">
        <v>61</v>
      </c>
      <c r="K1277">
        <v>79.7</v>
      </c>
      <c r="L1277">
        <v>11.9</v>
      </c>
      <c r="M1277">
        <v>0</v>
      </c>
    </row>
    <row r="1278" spans="1:15" x14ac:dyDescent="0.25">
      <c r="A1278" s="8" t="s">
        <v>268</v>
      </c>
      <c r="B1278" s="1" t="s">
        <v>236</v>
      </c>
      <c r="C1278" s="1">
        <v>2018</v>
      </c>
      <c r="D1278" s="1">
        <v>5</v>
      </c>
      <c r="E1278" s="1">
        <v>5</v>
      </c>
      <c r="F1278" s="1">
        <v>5</v>
      </c>
      <c r="G1278" s="1">
        <v>0</v>
      </c>
      <c r="H1278" s="2">
        <f>192767/172923</f>
        <v>1.1147562788061738</v>
      </c>
      <c r="I1278" s="5">
        <f>1816729/(1816729-20444)</f>
        <v>1.0113812674492078</v>
      </c>
      <c r="J1278" s="3">
        <v>64</v>
      </c>
      <c r="K1278">
        <v>79.7</v>
      </c>
      <c r="L1278">
        <v>11.9</v>
      </c>
      <c r="M1278">
        <v>0</v>
      </c>
    </row>
    <row r="1279" spans="1:15" x14ac:dyDescent="0.25">
      <c r="A1279" s="8" t="s">
        <v>269</v>
      </c>
      <c r="B1279" s="1" t="s">
        <v>236</v>
      </c>
      <c r="C1279" s="1">
        <v>2014</v>
      </c>
      <c r="D1279" s="1">
        <v>1</v>
      </c>
      <c r="E1279" s="1">
        <v>1</v>
      </c>
      <c r="F1279" s="1">
        <v>1</v>
      </c>
      <c r="G1279" s="1">
        <v>0</v>
      </c>
      <c r="H1279" s="5">
        <v>0.59</v>
      </c>
      <c r="I1279" s="2">
        <v>1.0485390678594928</v>
      </c>
      <c r="J1279" s="3">
        <v>88652</v>
      </c>
      <c r="K1279">
        <v>1.1589067683766279</v>
      </c>
      <c r="L1279">
        <v>18.822361145591191</v>
      </c>
      <c r="M1279">
        <v>1593.3</v>
      </c>
    </row>
    <row r="1280" spans="1:15" x14ac:dyDescent="0.25">
      <c r="A1280" s="8" t="s">
        <v>269</v>
      </c>
      <c r="B1280" s="1" t="s">
        <v>236</v>
      </c>
      <c r="C1280" s="1">
        <v>2015</v>
      </c>
      <c r="D1280" s="1">
        <v>1</v>
      </c>
      <c r="E1280" s="1">
        <v>1</v>
      </c>
      <c r="F1280" s="1">
        <v>1</v>
      </c>
      <c r="G1280" s="1">
        <v>0</v>
      </c>
      <c r="H1280" s="5">
        <v>0.76</v>
      </c>
      <c r="I1280" s="5">
        <v>1.1393626040667695</v>
      </c>
      <c r="J1280" s="3">
        <v>89521</v>
      </c>
      <c r="K1280">
        <v>1.1589067683766279</v>
      </c>
      <c r="L1280">
        <v>18.822361145591191</v>
      </c>
      <c r="M1280">
        <v>1608.9</v>
      </c>
    </row>
    <row r="1281" spans="1:15" x14ac:dyDescent="0.25">
      <c r="A1281" t="s">
        <v>269</v>
      </c>
      <c r="B1281" s="1" t="s">
        <v>236</v>
      </c>
      <c r="C1281" s="1">
        <v>2016</v>
      </c>
      <c r="D1281" s="1">
        <v>1</v>
      </c>
      <c r="E1281" s="1">
        <v>1</v>
      </c>
      <c r="F1281" s="1">
        <v>1</v>
      </c>
      <c r="G1281" s="1">
        <v>0</v>
      </c>
      <c r="H1281" s="5">
        <v>0.84</v>
      </c>
      <c r="I1281" s="2">
        <v>1.1358581345796961</v>
      </c>
      <c r="J1281" s="6">
        <v>88618</v>
      </c>
      <c r="K1281" s="7">
        <v>1.1589067683766279</v>
      </c>
      <c r="L1281" s="7">
        <v>18.822361145591191</v>
      </c>
      <c r="M1281">
        <v>1626.7</v>
      </c>
      <c r="O1281" s="7"/>
    </row>
    <row r="1282" spans="1:15" x14ac:dyDescent="0.25">
      <c r="A1282" t="s">
        <v>269</v>
      </c>
      <c r="B1282" s="1" t="s">
        <v>236</v>
      </c>
      <c r="C1282" s="1">
        <v>2017</v>
      </c>
      <c r="D1282" s="1">
        <v>1</v>
      </c>
      <c r="E1282" s="1">
        <v>1</v>
      </c>
      <c r="F1282" s="1">
        <v>1</v>
      </c>
      <c r="G1282" s="1">
        <v>0</v>
      </c>
      <c r="H1282" s="5">
        <v>0.75</v>
      </c>
      <c r="I1282" s="2">
        <v>1.1525882352941177</v>
      </c>
      <c r="J1282" s="3">
        <v>91414</v>
      </c>
      <c r="K1282">
        <v>1.1589067683766279</v>
      </c>
      <c r="L1282">
        <v>18.822361145591191</v>
      </c>
      <c r="M1282">
        <v>1642.9</v>
      </c>
    </row>
    <row r="1283" spans="1:15" x14ac:dyDescent="0.25">
      <c r="A1283" s="8" t="s">
        <v>269</v>
      </c>
      <c r="B1283" s="1" t="s">
        <v>236</v>
      </c>
      <c r="C1283" s="1">
        <v>2018</v>
      </c>
      <c r="D1283" s="1">
        <v>1</v>
      </c>
      <c r="E1283" s="1">
        <v>1</v>
      </c>
      <c r="F1283" s="1">
        <v>1</v>
      </c>
      <c r="G1283" s="1">
        <v>0</v>
      </c>
      <c r="H1283" s="2">
        <f>13278/16991</f>
        <v>0.7814725442881526</v>
      </c>
      <c r="I1283" s="2">
        <v>1.1335259974039333</v>
      </c>
      <c r="J1283" s="3">
        <v>92308</v>
      </c>
      <c r="K1283">
        <v>1.1589067683766279</v>
      </c>
      <c r="L1283">
        <v>18.822361145591191</v>
      </c>
      <c r="M1283">
        <v>1659</v>
      </c>
    </row>
    <row r="1284" spans="1:15" x14ac:dyDescent="0.25">
      <c r="A1284" s="8" t="s">
        <v>270</v>
      </c>
      <c r="B1284" s="1" t="s">
        <v>236</v>
      </c>
      <c r="C1284" s="1">
        <v>2014</v>
      </c>
      <c r="D1284" s="1">
        <v>2</v>
      </c>
      <c r="E1284" s="1">
        <v>3</v>
      </c>
      <c r="F1284" s="1">
        <v>2.5</v>
      </c>
      <c r="G1284" s="1">
        <v>1</v>
      </c>
      <c r="H1284" s="5">
        <v>0.77</v>
      </c>
      <c r="I1284" s="5">
        <v>0.86453907716628797</v>
      </c>
      <c r="J1284" s="3">
        <v>8599</v>
      </c>
      <c r="K1284">
        <v>2.418701539173707</v>
      </c>
      <c r="L1284">
        <v>2.3608378659877327</v>
      </c>
      <c r="M1284">
        <v>1.4</v>
      </c>
    </row>
    <row r="1285" spans="1:15" x14ac:dyDescent="0.25">
      <c r="A1285" s="8" t="s">
        <v>270</v>
      </c>
      <c r="B1285" s="1" t="s">
        <v>236</v>
      </c>
      <c r="C1285" s="1">
        <v>2015</v>
      </c>
      <c r="D1285" s="1">
        <v>2</v>
      </c>
      <c r="E1285" s="1">
        <v>3</v>
      </c>
      <c r="F1285" s="1">
        <v>2.5</v>
      </c>
      <c r="G1285" s="1">
        <v>1</v>
      </c>
      <c r="H1285" s="5">
        <v>0.48</v>
      </c>
      <c r="I1285" s="5">
        <v>0.98003093158660848</v>
      </c>
      <c r="J1285" s="3">
        <v>8718</v>
      </c>
      <c r="K1285">
        <v>2.418701539173707</v>
      </c>
      <c r="L1285">
        <v>2.3608378659877327</v>
      </c>
      <c r="M1285">
        <v>1.4</v>
      </c>
    </row>
    <row r="1286" spans="1:15" x14ac:dyDescent="0.25">
      <c r="A1286" t="s">
        <v>270</v>
      </c>
      <c r="B1286" s="1" t="s">
        <v>236</v>
      </c>
      <c r="C1286" s="1">
        <v>2016</v>
      </c>
      <c r="D1286" s="1">
        <v>2</v>
      </c>
      <c r="E1286" s="1">
        <v>3</v>
      </c>
      <c r="F1286" s="1">
        <v>2.5</v>
      </c>
      <c r="G1286" s="1">
        <v>1</v>
      </c>
      <c r="H1286" s="5">
        <v>0.19</v>
      </c>
      <c r="I1286" s="2">
        <v>0.86643093922651937</v>
      </c>
      <c r="J1286" s="6">
        <v>8641</v>
      </c>
      <c r="K1286" s="7">
        <v>2.418701539173707</v>
      </c>
      <c r="L1286" s="7">
        <v>2.3608378659877327</v>
      </c>
      <c r="M1286">
        <v>1.4</v>
      </c>
      <c r="O1286" s="7"/>
    </row>
    <row r="1287" spans="1:15" x14ac:dyDescent="0.25">
      <c r="A1287" t="s">
        <v>270</v>
      </c>
      <c r="B1287" s="1" t="s">
        <v>236</v>
      </c>
      <c r="C1287" s="1">
        <v>2017</v>
      </c>
      <c r="D1287" s="1">
        <v>2</v>
      </c>
      <c r="E1287" s="1">
        <v>3</v>
      </c>
      <c r="F1287" s="1">
        <v>2.5</v>
      </c>
      <c r="G1287" s="1">
        <v>1</v>
      </c>
      <c r="H1287" s="5">
        <f>2969/6506</f>
        <v>0.45634798647402397</v>
      </c>
      <c r="I1287" s="2">
        <v>0.94395749301892651</v>
      </c>
      <c r="J1287" s="3">
        <v>8885</v>
      </c>
      <c r="K1287">
        <v>2.418701539173707</v>
      </c>
      <c r="L1287">
        <v>2.3608378659877327</v>
      </c>
      <c r="M1287">
        <v>1.4</v>
      </c>
    </row>
    <row r="1288" spans="1:15" x14ac:dyDescent="0.25">
      <c r="A1288" s="8" t="s">
        <v>270</v>
      </c>
      <c r="B1288" s="1" t="s">
        <v>236</v>
      </c>
      <c r="C1288" s="1">
        <v>2018</v>
      </c>
      <c r="D1288" s="1">
        <v>2</v>
      </c>
      <c r="E1288" s="1">
        <v>3</v>
      </c>
      <c r="F1288" s="1">
        <v>2.5</v>
      </c>
      <c r="G1288" s="1">
        <v>1</v>
      </c>
      <c r="H1288" s="5">
        <v>0.68</v>
      </c>
      <c r="I1288" s="2">
        <v>0.89019202480817405</v>
      </c>
      <c r="J1288" s="3">
        <v>8983</v>
      </c>
      <c r="K1288">
        <v>2.418701539173707</v>
      </c>
      <c r="L1288">
        <v>2.3608378659877327</v>
      </c>
      <c r="M1288">
        <v>1.4</v>
      </c>
    </row>
    <row r="1289" spans="1:15" x14ac:dyDescent="0.25">
      <c r="A1289" s="8" t="s">
        <v>271</v>
      </c>
      <c r="B1289" s="1" t="s">
        <v>236</v>
      </c>
      <c r="C1289" s="1">
        <v>2014</v>
      </c>
      <c r="D1289" s="1">
        <v>1</v>
      </c>
      <c r="E1289" s="1">
        <v>1</v>
      </c>
      <c r="F1289" s="1">
        <v>1</v>
      </c>
      <c r="G1289" s="1">
        <v>0</v>
      </c>
      <c r="H1289" s="5">
        <v>0.75</v>
      </c>
      <c r="I1289" s="5">
        <v>0.97880023950303119</v>
      </c>
      <c r="J1289" s="3">
        <v>65986</v>
      </c>
      <c r="K1289">
        <v>0.54470265098910597</v>
      </c>
      <c r="L1289">
        <v>14.708514643705831</v>
      </c>
      <c r="M1289">
        <v>873.4</v>
      </c>
    </row>
    <row r="1290" spans="1:15" x14ac:dyDescent="0.25">
      <c r="A1290" s="8" t="s">
        <v>271</v>
      </c>
      <c r="B1290" s="1" t="s">
        <v>236</v>
      </c>
      <c r="C1290" s="1">
        <v>2015</v>
      </c>
      <c r="D1290" s="1">
        <v>1</v>
      </c>
      <c r="E1290" s="1">
        <v>1</v>
      </c>
      <c r="F1290" s="1">
        <v>1</v>
      </c>
      <c r="G1290" s="1">
        <v>0</v>
      </c>
      <c r="H1290" s="5">
        <v>0.72</v>
      </c>
      <c r="I1290" s="5">
        <v>1.0492446499990522</v>
      </c>
      <c r="J1290" s="3">
        <v>66232</v>
      </c>
      <c r="K1290">
        <v>0.54470265098910597</v>
      </c>
      <c r="L1290">
        <v>14.708514643705831</v>
      </c>
      <c r="M1290">
        <v>876.7</v>
      </c>
    </row>
    <row r="1291" spans="1:15" x14ac:dyDescent="0.25">
      <c r="A1291" t="s">
        <v>271</v>
      </c>
      <c r="B1291" s="1" t="s">
        <v>236</v>
      </c>
      <c r="C1291" s="1">
        <v>2016</v>
      </c>
      <c r="D1291" s="1">
        <v>1</v>
      </c>
      <c r="E1291" s="1">
        <v>1</v>
      </c>
      <c r="F1291" s="1">
        <v>1</v>
      </c>
      <c r="G1291" s="1">
        <v>0</v>
      </c>
      <c r="H1291" s="2">
        <v>0.74</v>
      </c>
      <c r="I1291" s="2">
        <v>1.0393399865968738</v>
      </c>
      <c r="J1291" s="6">
        <v>64806</v>
      </c>
      <c r="K1291" s="7">
        <v>0.54470265098910597</v>
      </c>
      <c r="L1291" s="7">
        <v>14.708514643705831</v>
      </c>
      <c r="M1291">
        <v>880</v>
      </c>
      <c r="O1291" s="7"/>
    </row>
    <row r="1292" spans="1:15" x14ac:dyDescent="0.25">
      <c r="A1292" t="s">
        <v>271</v>
      </c>
      <c r="B1292" s="1" t="s">
        <v>236</v>
      </c>
      <c r="C1292" s="1">
        <v>2017</v>
      </c>
      <c r="D1292" s="1">
        <v>1</v>
      </c>
      <c r="E1292" s="1">
        <v>1</v>
      </c>
      <c r="F1292" s="1">
        <v>1</v>
      </c>
      <c r="G1292" s="1">
        <v>0</v>
      </c>
      <c r="H1292" s="5">
        <v>0.85</v>
      </c>
      <c r="I1292" s="2">
        <f>1/0.925</f>
        <v>1.0810810810810809</v>
      </c>
      <c r="J1292" s="3">
        <v>66851</v>
      </c>
      <c r="K1292">
        <v>0.54470265098910597</v>
      </c>
      <c r="L1292">
        <v>14.708514643705831</v>
      </c>
      <c r="M1292">
        <v>884.9</v>
      </c>
    </row>
    <row r="1293" spans="1:15" x14ac:dyDescent="0.25">
      <c r="A1293" s="8" t="s">
        <v>271</v>
      </c>
      <c r="B1293" s="1" t="s">
        <v>236</v>
      </c>
      <c r="C1293" s="1">
        <v>2018</v>
      </c>
      <c r="D1293" s="1">
        <v>1</v>
      </c>
      <c r="E1293" s="1">
        <v>1</v>
      </c>
      <c r="F1293" s="1">
        <v>1</v>
      </c>
      <c r="G1293" s="1">
        <v>0</v>
      </c>
      <c r="H1293" s="5">
        <v>0.79</v>
      </c>
      <c r="I1293" s="2">
        <v>1.0935508061492314</v>
      </c>
      <c r="J1293" s="3">
        <v>67253</v>
      </c>
      <c r="K1293">
        <v>0.54470265098910597</v>
      </c>
      <c r="L1293">
        <v>14.708514643705831</v>
      </c>
      <c r="M1293">
        <v>890.2</v>
      </c>
    </row>
    <row r="1294" spans="1:15" x14ac:dyDescent="0.25">
      <c r="A1294" s="8" t="s">
        <v>272</v>
      </c>
      <c r="B1294" s="1" t="s">
        <v>236</v>
      </c>
      <c r="C1294" s="1">
        <v>2014</v>
      </c>
      <c r="D1294" s="1">
        <v>2</v>
      </c>
      <c r="E1294" s="1">
        <v>2</v>
      </c>
      <c r="F1294" s="1">
        <v>2</v>
      </c>
      <c r="G1294" s="1">
        <v>0</v>
      </c>
      <c r="H1294" s="5">
        <v>1.01</v>
      </c>
      <c r="I1294" s="5">
        <v>0.99766424943643228</v>
      </c>
      <c r="J1294" s="3">
        <v>32386</v>
      </c>
      <c r="K1294">
        <v>1.0930107204887105</v>
      </c>
      <c r="L1294">
        <v>4.0546205905252437</v>
      </c>
      <c r="M1294">
        <v>54.5</v>
      </c>
    </row>
    <row r="1295" spans="1:15" x14ac:dyDescent="0.25">
      <c r="A1295" s="8" t="s">
        <v>272</v>
      </c>
      <c r="B1295" s="1" t="s">
        <v>236</v>
      </c>
      <c r="C1295" s="1">
        <v>2015</v>
      </c>
      <c r="D1295" s="1">
        <v>2</v>
      </c>
      <c r="E1295" s="1">
        <v>2</v>
      </c>
      <c r="F1295" s="1">
        <v>2</v>
      </c>
      <c r="G1295" s="1">
        <v>0</v>
      </c>
      <c r="H1295" s="5">
        <v>1.06</v>
      </c>
      <c r="I1295" s="5">
        <v>1.0166481973043322</v>
      </c>
      <c r="J1295" s="3">
        <v>33187</v>
      </c>
      <c r="K1295">
        <v>1.0930107204887105</v>
      </c>
      <c r="L1295">
        <v>4.0546205905252437</v>
      </c>
      <c r="M1295">
        <v>55.8</v>
      </c>
    </row>
    <row r="1296" spans="1:15" x14ac:dyDescent="0.25">
      <c r="A1296" t="s">
        <v>272</v>
      </c>
      <c r="B1296" s="1" t="s">
        <v>236</v>
      </c>
      <c r="C1296" s="1">
        <v>2016</v>
      </c>
      <c r="D1296" s="1">
        <v>2</v>
      </c>
      <c r="E1296" s="1">
        <v>2</v>
      </c>
      <c r="F1296" s="1">
        <v>2</v>
      </c>
      <c r="G1296" s="1">
        <v>0</v>
      </c>
      <c r="H1296" s="2">
        <v>0.89</v>
      </c>
      <c r="I1296" s="2">
        <v>1.0154723543552759</v>
      </c>
      <c r="J1296" s="6">
        <v>33394</v>
      </c>
      <c r="K1296" s="7">
        <v>1.0930107204887105</v>
      </c>
      <c r="L1296" s="7">
        <v>4.0546205905252437</v>
      </c>
      <c r="M1296">
        <v>57</v>
      </c>
      <c r="O1296" s="7"/>
    </row>
    <row r="1297" spans="1:15" x14ac:dyDescent="0.25">
      <c r="A1297" t="s">
        <v>272</v>
      </c>
      <c r="B1297" s="1" t="s">
        <v>236</v>
      </c>
      <c r="C1297" s="1">
        <v>2017</v>
      </c>
      <c r="D1297" s="1">
        <v>2</v>
      </c>
      <c r="E1297" s="1">
        <v>2</v>
      </c>
      <c r="F1297" s="1">
        <v>2</v>
      </c>
      <c r="G1297" s="1">
        <v>0</v>
      </c>
      <c r="H1297" s="5">
        <v>0.79</v>
      </c>
      <c r="I1297" s="2">
        <v>1.0292760615499918</v>
      </c>
      <c r="J1297" s="3">
        <v>34726</v>
      </c>
      <c r="K1297">
        <v>1.0930107204887105</v>
      </c>
      <c r="L1297">
        <v>4.0546205905252437</v>
      </c>
      <c r="M1297">
        <v>58.4</v>
      </c>
    </row>
    <row r="1298" spans="1:15" x14ac:dyDescent="0.25">
      <c r="A1298" s="8" t="s">
        <v>272</v>
      </c>
      <c r="B1298" s="1" t="s">
        <v>236</v>
      </c>
      <c r="C1298" s="1">
        <v>2018</v>
      </c>
      <c r="D1298" s="1">
        <v>2</v>
      </c>
      <c r="E1298" s="1">
        <v>2</v>
      </c>
      <c r="F1298" s="1">
        <v>2</v>
      </c>
      <c r="G1298" s="1">
        <v>0</v>
      </c>
      <c r="H1298" s="5">
        <v>0.92</v>
      </c>
      <c r="I1298" s="2">
        <v>1.0372923215087562</v>
      </c>
      <c r="J1298" s="3">
        <v>35545</v>
      </c>
      <c r="K1298">
        <v>1.0930107204887105</v>
      </c>
      <c r="L1298">
        <v>4.0546205905252437</v>
      </c>
      <c r="M1298">
        <v>59.8</v>
      </c>
    </row>
    <row r="1299" spans="1:15" x14ac:dyDescent="0.25">
      <c r="A1299" s="8" t="s">
        <v>273</v>
      </c>
      <c r="B1299" s="1" t="s">
        <v>236</v>
      </c>
      <c r="C1299" s="1">
        <v>2014</v>
      </c>
      <c r="D1299" s="1">
        <v>2</v>
      </c>
      <c r="E1299" s="1">
        <v>2</v>
      </c>
      <c r="F1299" s="1">
        <v>2</v>
      </c>
      <c r="G1299" s="1">
        <v>0</v>
      </c>
      <c r="H1299" s="5">
        <v>2.44</v>
      </c>
      <c r="I1299" s="5">
        <v>0.97146274777853725</v>
      </c>
      <c r="J1299" s="3">
        <v>26710</v>
      </c>
      <c r="K1299">
        <v>2.2601879684943498</v>
      </c>
      <c r="L1299">
        <v>6.0081427647349797</v>
      </c>
      <c r="M1299">
        <v>788</v>
      </c>
    </row>
    <row r="1300" spans="1:15" x14ac:dyDescent="0.25">
      <c r="A1300" s="8" t="s">
        <v>273</v>
      </c>
      <c r="B1300" s="1" t="s">
        <v>236</v>
      </c>
      <c r="C1300" s="1">
        <v>2015</v>
      </c>
      <c r="D1300" s="1">
        <v>2</v>
      </c>
      <c r="E1300" s="1">
        <v>2</v>
      </c>
      <c r="F1300" s="1">
        <v>2</v>
      </c>
      <c r="G1300" s="1">
        <v>0</v>
      </c>
      <c r="H1300" s="5">
        <v>0.53</v>
      </c>
      <c r="I1300" s="5">
        <v>1.0416916018352285</v>
      </c>
      <c r="J1300" s="3">
        <v>26931</v>
      </c>
      <c r="K1300">
        <v>2.2601879684943498</v>
      </c>
      <c r="L1300">
        <v>6.0081427647349797</v>
      </c>
      <c r="M1300">
        <v>794.6</v>
      </c>
    </row>
    <row r="1301" spans="1:15" x14ac:dyDescent="0.25">
      <c r="A1301" t="s">
        <v>273</v>
      </c>
      <c r="B1301" s="1" t="s">
        <v>236</v>
      </c>
      <c r="C1301" s="1">
        <v>2016</v>
      </c>
      <c r="D1301" s="1">
        <v>2</v>
      </c>
      <c r="E1301" s="1">
        <v>2</v>
      </c>
      <c r="F1301" s="1">
        <v>2</v>
      </c>
      <c r="G1301" s="1">
        <v>0</v>
      </c>
      <c r="H1301" s="2">
        <v>0.56999999999999995</v>
      </c>
      <c r="I1301" s="2">
        <v>0.97881437540926775</v>
      </c>
      <c r="J1301" s="6">
        <v>26281</v>
      </c>
      <c r="K1301" s="7">
        <v>2.2601879684943498</v>
      </c>
      <c r="L1301" s="7">
        <v>6.0081427647349797</v>
      </c>
      <c r="M1301">
        <v>798.4</v>
      </c>
      <c r="O1301" s="7"/>
    </row>
    <row r="1302" spans="1:15" x14ac:dyDescent="0.25">
      <c r="A1302" t="s">
        <v>273</v>
      </c>
      <c r="B1302" s="1" t="s">
        <v>236</v>
      </c>
      <c r="C1302" s="1">
        <v>2017</v>
      </c>
      <c r="D1302" s="1">
        <v>2</v>
      </c>
      <c r="E1302" s="1">
        <v>2</v>
      </c>
      <c r="F1302" s="1">
        <v>2</v>
      </c>
      <c r="G1302" s="1">
        <v>0</v>
      </c>
      <c r="H1302" s="5">
        <v>0.62</v>
      </c>
      <c r="I1302" s="2">
        <v>1.0649564851207187</v>
      </c>
      <c r="J1302" s="3">
        <v>27035</v>
      </c>
      <c r="K1302">
        <v>2.2601879684943498</v>
      </c>
      <c r="L1302">
        <v>6.0081427647349797</v>
      </c>
      <c r="M1302">
        <v>797.6</v>
      </c>
    </row>
    <row r="1303" spans="1:15" x14ac:dyDescent="0.25">
      <c r="A1303" s="8" t="s">
        <v>273</v>
      </c>
      <c r="B1303" s="1" t="s">
        <v>236</v>
      </c>
      <c r="C1303" s="1">
        <v>2018</v>
      </c>
      <c r="D1303" s="1">
        <v>2</v>
      </c>
      <c r="E1303" s="1">
        <v>2</v>
      </c>
      <c r="F1303" s="1">
        <v>2</v>
      </c>
      <c r="G1303" s="1">
        <v>0</v>
      </c>
      <c r="H1303" s="5">
        <v>0.72</v>
      </c>
      <c r="I1303" s="2">
        <v>1.063789934973141</v>
      </c>
      <c r="J1303" s="3">
        <v>27176</v>
      </c>
      <c r="K1303">
        <v>2.2601879684943498</v>
      </c>
      <c r="L1303">
        <v>6.0081427647349797</v>
      </c>
      <c r="M1303">
        <v>801.8</v>
      </c>
    </row>
    <row r="1304" spans="1:15" x14ac:dyDescent="0.25">
      <c r="A1304" s="8" t="s">
        <v>274</v>
      </c>
      <c r="B1304" s="1" t="s">
        <v>236</v>
      </c>
      <c r="C1304" s="1">
        <v>2014</v>
      </c>
      <c r="D1304" s="1">
        <v>3</v>
      </c>
      <c r="E1304" s="1">
        <v>3</v>
      </c>
      <c r="F1304" s="1">
        <v>3</v>
      </c>
      <c r="G1304" s="1">
        <v>0</v>
      </c>
      <c r="H1304" s="5">
        <v>1.23</v>
      </c>
      <c r="I1304" s="5">
        <v>1.1735218508997429</v>
      </c>
      <c r="J1304" s="3">
        <v>2918</v>
      </c>
      <c r="K1304">
        <v>3.1807060468367703</v>
      </c>
      <c r="L1304">
        <v>1.6427822439706399</v>
      </c>
      <c r="M1304">
        <v>0.9</v>
      </c>
    </row>
    <row r="1305" spans="1:15" x14ac:dyDescent="0.25">
      <c r="A1305" s="8" t="s">
        <v>274</v>
      </c>
      <c r="B1305" s="1" t="s">
        <v>236</v>
      </c>
      <c r="C1305" s="1">
        <v>2015</v>
      </c>
      <c r="D1305" s="1">
        <v>3</v>
      </c>
      <c r="E1305" s="1">
        <v>3</v>
      </c>
      <c r="F1305" s="1">
        <v>3</v>
      </c>
      <c r="G1305" s="1">
        <v>0</v>
      </c>
      <c r="H1305" s="5">
        <v>1.1599999999999999</v>
      </c>
      <c r="I1305" s="5">
        <v>1.0096406660823838</v>
      </c>
      <c r="J1305" s="3">
        <v>2927</v>
      </c>
      <c r="K1305">
        <v>3.1807060468367703</v>
      </c>
      <c r="L1305">
        <v>1.6427822439706399</v>
      </c>
      <c r="M1305">
        <v>0.9</v>
      </c>
    </row>
    <row r="1306" spans="1:15" x14ac:dyDescent="0.25">
      <c r="A1306" t="s">
        <v>274</v>
      </c>
      <c r="B1306" s="1" t="s">
        <v>236</v>
      </c>
      <c r="C1306" s="1">
        <v>2016</v>
      </c>
      <c r="D1306" s="1">
        <v>3</v>
      </c>
      <c r="E1306" s="1">
        <v>3</v>
      </c>
      <c r="F1306" s="1">
        <v>3</v>
      </c>
      <c r="G1306" s="1">
        <v>0</v>
      </c>
      <c r="H1306" s="2">
        <v>1.03</v>
      </c>
      <c r="I1306" s="2">
        <v>1.049833383823084</v>
      </c>
      <c r="J1306" s="6">
        <v>2861</v>
      </c>
      <c r="K1306" s="7">
        <v>3.1807060468367703</v>
      </c>
      <c r="L1306" s="7">
        <v>1.6427822439706399</v>
      </c>
      <c r="M1306">
        <v>0.9</v>
      </c>
      <c r="O1306" s="7"/>
    </row>
    <row r="1307" spans="1:15" x14ac:dyDescent="0.25">
      <c r="A1307" t="s">
        <v>274</v>
      </c>
      <c r="B1307" s="1" t="s">
        <v>236</v>
      </c>
      <c r="C1307" s="1">
        <v>2017</v>
      </c>
      <c r="D1307" s="1">
        <v>3</v>
      </c>
      <c r="E1307" s="1">
        <v>3</v>
      </c>
      <c r="F1307" s="1">
        <v>3</v>
      </c>
      <c r="G1307" s="1">
        <v>0</v>
      </c>
      <c r="H1307" s="5">
        <v>1.85</v>
      </c>
      <c r="I1307" s="2">
        <v>1.2029396596183599</v>
      </c>
      <c r="J1307" s="3">
        <v>2902</v>
      </c>
      <c r="K1307">
        <v>3.1807060468367703</v>
      </c>
      <c r="L1307">
        <v>1.6427822439706399</v>
      </c>
      <c r="M1307">
        <v>0.8</v>
      </c>
    </row>
    <row r="1308" spans="1:15" x14ac:dyDescent="0.25">
      <c r="A1308" s="8" t="s">
        <v>274</v>
      </c>
      <c r="B1308" s="1" t="s">
        <v>236</v>
      </c>
      <c r="C1308" s="1">
        <v>2018</v>
      </c>
      <c r="D1308" s="1">
        <v>3</v>
      </c>
      <c r="E1308" s="1">
        <v>3</v>
      </c>
      <c r="F1308" s="1">
        <v>3</v>
      </c>
      <c r="G1308" s="1">
        <v>0</v>
      </c>
      <c r="H1308" s="5">
        <v>1.57</v>
      </c>
      <c r="I1308" s="2">
        <v>1.1469907407407407</v>
      </c>
      <c r="J1308" s="3">
        <v>2910</v>
      </c>
      <c r="K1308">
        <v>3.1807060468367703</v>
      </c>
      <c r="L1308">
        <v>1.6427822439706399</v>
      </c>
      <c r="M1308">
        <v>0.9</v>
      </c>
    </row>
    <row r="1309" spans="1:15" x14ac:dyDescent="0.25">
      <c r="A1309" s="8" t="s">
        <v>275</v>
      </c>
      <c r="B1309" s="1" t="s">
        <v>236</v>
      </c>
      <c r="C1309" s="1">
        <v>2014</v>
      </c>
      <c r="D1309" s="1">
        <v>2</v>
      </c>
      <c r="E1309" s="1">
        <v>2</v>
      </c>
      <c r="F1309" s="1">
        <v>2</v>
      </c>
      <c r="G1309" s="1">
        <v>0</v>
      </c>
      <c r="H1309" s="5">
        <v>0.84</v>
      </c>
      <c r="I1309" s="5">
        <v>0.93722400482892265</v>
      </c>
      <c r="J1309" s="3">
        <v>21004</v>
      </c>
      <c r="K1309">
        <v>4.6352219346179657</v>
      </c>
      <c r="L1309">
        <v>9.9990413191448564</v>
      </c>
      <c r="M1309">
        <v>11.5</v>
      </c>
    </row>
    <row r="1310" spans="1:15" x14ac:dyDescent="0.25">
      <c r="A1310" s="8" t="s">
        <v>275</v>
      </c>
      <c r="B1310" s="1" t="s">
        <v>236</v>
      </c>
      <c r="C1310" s="1">
        <v>2015</v>
      </c>
      <c r="D1310" s="1">
        <v>2</v>
      </c>
      <c r="E1310" s="1">
        <v>2</v>
      </c>
      <c r="F1310" s="1">
        <v>2</v>
      </c>
      <c r="G1310" s="1">
        <v>0</v>
      </c>
      <c r="H1310" s="2">
        <f>238/617</f>
        <v>0.38573743922204212</v>
      </c>
      <c r="I1310" s="5">
        <v>1.059429770427055</v>
      </c>
      <c r="J1310" s="3">
        <v>21274</v>
      </c>
      <c r="K1310">
        <v>4.6352219346179657</v>
      </c>
      <c r="L1310">
        <v>9.9990413191448564</v>
      </c>
      <c r="M1310">
        <v>11.6</v>
      </c>
    </row>
    <row r="1311" spans="1:15" x14ac:dyDescent="0.25">
      <c r="A1311" t="s">
        <v>275</v>
      </c>
      <c r="B1311" s="1" t="s">
        <v>236</v>
      </c>
      <c r="C1311" s="1">
        <v>2016</v>
      </c>
      <c r="D1311" s="1">
        <v>2</v>
      </c>
      <c r="E1311" s="1">
        <v>2</v>
      </c>
      <c r="F1311" s="1">
        <v>2</v>
      </c>
      <c r="G1311" s="1">
        <v>0</v>
      </c>
      <c r="H1311" s="5">
        <v>1.26</v>
      </c>
      <c r="I1311" s="2">
        <v>0.99215277564908189</v>
      </c>
      <c r="J1311" s="6">
        <v>20862</v>
      </c>
      <c r="K1311" s="7">
        <v>4.6352219346179657</v>
      </c>
      <c r="L1311" s="7">
        <v>9.9990413191448564</v>
      </c>
      <c r="M1311">
        <v>11.8</v>
      </c>
      <c r="O1311" s="7"/>
    </row>
    <row r="1312" spans="1:15" x14ac:dyDescent="0.25">
      <c r="A1312" t="s">
        <v>275</v>
      </c>
      <c r="B1312" s="1" t="s">
        <v>236</v>
      </c>
      <c r="C1312" s="1">
        <v>2017</v>
      </c>
      <c r="D1312" s="1">
        <v>2</v>
      </c>
      <c r="E1312" s="1">
        <v>2</v>
      </c>
      <c r="F1312" s="1">
        <v>2</v>
      </c>
      <c r="G1312" s="1">
        <v>0</v>
      </c>
      <c r="H1312" s="5">
        <v>1.25</v>
      </c>
      <c r="I1312" s="2">
        <v>1.1297328232778097</v>
      </c>
      <c r="J1312" s="3">
        <v>21840</v>
      </c>
      <c r="K1312">
        <v>4.6352219346179657</v>
      </c>
      <c r="L1312">
        <v>9.9990413191448564</v>
      </c>
      <c r="M1312">
        <v>11.9</v>
      </c>
    </row>
    <row r="1313" spans="1:15" x14ac:dyDescent="0.25">
      <c r="A1313" s="8" t="s">
        <v>275</v>
      </c>
      <c r="B1313" s="1" t="s">
        <v>236</v>
      </c>
      <c r="C1313" s="1">
        <v>2018</v>
      </c>
      <c r="D1313" s="1">
        <v>2</v>
      </c>
      <c r="E1313" s="1">
        <v>2</v>
      </c>
      <c r="F1313" s="1">
        <v>2</v>
      </c>
      <c r="G1313" s="1">
        <v>0</v>
      </c>
      <c r="H1313" s="5">
        <v>1.05</v>
      </c>
      <c r="I1313" s="2">
        <v>1.0364255175517552</v>
      </c>
      <c r="J1313" s="3">
        <v>22165</v>
      </c>
      <c r="K1313">
        <v>4.6352219346179657</v>
      </c>
      <c r="L1313">
        <v>9.9990413191448564</v>
      </c>
      <c r="M1313">
        <v>12.1</v>
      </c>
    </row>
    <row r="1314" spans="1:15" x14ac:dyDescent="0.25">
      <c r="A1314" s="8" t="s">
        <v>276</v>
      </c>
      <c r="B1314" s="1" t="s">
        <v>236</v>
      </c>
      <c r="C1314" s="1">
        <v>2014</v>
      </c>
      <c r="D1314" s="1">
        <v>3</v>
      </c>
      <c r="E1314" s="1">
        <v>3</v>
      </c>
      <c r="F1314" s="1">
        <v>3</v>
      </c>
      <c r="G1314" s="1">
        <v>0</v>
      </c>
      <c r="H1314" s="5">
        <v>0.57999999999999996</v>
      </c>
      <c r="I1314" s="5">
        <v>1.028051650658355</v>
      </c>
      <c r="J1314" s="3">
        <v>8585</v>
      </c>
      <c r="K1314">
        <v>1.5920878060547581</v>
      </c>
      <c r="L1314">
        <v>9.4680979375226162</v>
      </c>
      <c r="M1314">
        <v>1.9</v>
      </c>
    </row>
    <row r="1315" spans="1:15" x14ac:dyDescent="0.25">
      <c r="A1315" s="8" t="s">
        <v>276</v>
      </c>
      <c r="B1315" s="1" t="s">
        <v>236</v>
      </c>
      <c r="C1315" s="1">
        <v>2015</v>
      </c>
      <c r="D1315" s="1">
        <v>3</v>
      </c>
      <c r="E1315" s="1">
        <v>3</v>
      </c>
      <c r="F1315" s="1">
        <v>3</v>
      </c>
      <c r="G1315" s="1">
        <v>0</v>
      </c>
      <c r="H1315" s="5">
        <v>0.95</v>
      </c>
      <c r="I1315" s="5">
        <v>1.1257034535868728</v>
      </c>
      <c r="J1315" s="3">
        <v>8570</v>
      </c>
      <c r="K1315">
        <v>1.5920878060547581</v>
      </c>
      <c r="L1315">
        <v>9.4680979375226162</v>
      </c>
      <c r="M1315">
        <v>1.9</v>
      </c>
    </row>
    <row r="1316" spans="1:15" x14ac:dyDescent="0.25">
      <c r="A1316" t="s">
        <v>276</v>
      </c>
      <c r="B1316" s="1" t="s">
        <v>236</v>
      </c>
      <c r="C1316" s="1">
        <v>2016</v>
      </c>
      <c r="D1316" s="1">
        <v>3</v>
      </c>
      <c r="E1316" s="1">
        <v>3</v>
      </c>
      <c r="F1316" s="1">
        <v>3</v>
      </c>
      <c r="G1316" s="1">
        <v>0</v>
      </c>
      <c r="H1316" s="5">
        <v>1.41</v>
      </c>
      <c r="I1316" s="2">
        <v>1.046448604020924</v>
      </c>
      <c r="J1316" s="6">
        <v>8291</v>
      </c>
      <c r="K1316" s="7">
        <v>1.5920878060547581</v>
      </c>
      <c r="L1316" s="7">
        <v>9.4680979375226162</v>
      </c>
      <c r="M1316">
        <v>1.9</v>
      </c>
      <c r="O1316" s="7"/>
    </row>
    <row r="1317" spans="1:15" x14ac:dyDescent="0.25">
      <c r="A1317" t="s">
        <v>276</v>
      </c>
      <c r="B1317" s="1" t="s">
        <v>236</v>
      </c>
      <c r="C1317" s="1">
        <v>2017</v>
      </c>
      <c r="D1317" s="1">
        <v>3</v>
      </c>
      <c r="E1317" s="1">
        <v>3</v>
      </c>
      <c r="F1317" s="1">
        <v>3</v>
      </c>
      <c r="G1317" s="1">
        <v>0</v>
      </c>
      <c r="H1317" s="5">
        <v>0.92</v>
      </c>
      <c r="I1317" s="2">
        <v>1.0662378395619585</v>
      </c>
      <c r="J1317" s="3">
        <v>8553</v>
      </c>
      <c r="K1317">
        <v>1.5920878060547581</v>
      </c>
      <c r="L1317">
        <v>9.4680979375226162</v>
      </c>
      <c r="M1317">
        <v>1.9</v>
      </c>
    </row>
    <row r="1318" spans="1:15" x14ac:dyDescent="0.25">
      <c r="A1318" s="8" t="s">
        <v>276</v>
      </c>
      <c r="B1318" s="1" t="s">
        <v>236</v>
      </c>
      <c r="C1318" s="1">
        <v>2018</v>
      </c>
      <c r="D1318" s="1">
        <v>3</v>
      </c>
      <c r="E1318" s="1">
        <v>3</v>
      </c>
      <c r="F1318" s="1">
        <v>3</v>
      </c>
      <c r="G1318" s="1">
        <v>0</v>
      </c>
      <c r="H1318" s="5">
        <v>0.67</v>
      </c>
      <c r="I1318" s="2">
        <v>1.0367643077589475</v>
      </c>
      <c r="J1318" s="3">
        <v>8533</v>
      </c>
      <c r="K1318">
        <v>1.5920878060547581</v>
      </c>
      <c r="L1318">
        <v>9.4680979375226162</v>
      </c>
      <c r="M1318">
        <v>1.9</v>
      </c>
    </row>
    <row r="1319" spans="1:15" x14ac:dyDescent="0.25">
      <c r="A1319" s="8" t="s">
        <v>277</v>
      </c>
      <c r="B1319" s="1" t="s">
        <v>236</v>
      </c>
      <c r="C1319" s="1">
        <v>2014</v>
      </c>
      <c r="D1319" s="1">
        <v>3</v>
      </c>
      <c r="E1319" s="1">
        <v>3</v>
      </c>
      <c r="F1319" s="1">
        <v>3</v>
      </c>
      <c r="G1319" s="1">
        <v>0</v>
      </c>
      <c r="H1319" s="5">
        <v>0.62</v>
      </c>
      <c r="I1319" s="5">
        <v>0.80122180451127822</v>
      </c>
      <c r="J1319" s="3">
        <v>4610</v>
      </c>
      <c r="K1319">
        <v>1.6118348421285054</v>
      </c>
      <c r="L1319">
        <v>0.83903731508059176</v>
      </c>
      <c r="M1319">
        <v>1.5</v>
      </c>
    </row>
    <row r="1320" spans="1:15" x14ac:dyDescent="0.25">
      <c r="A1320" s="8" t="s">
        <v>277</v>
      </c>
      <c r="B1320" s="1" t="s">
        <v>236</v>
      </c>
      <c r="C1320" s="1">
        <v>2015</v>
      </c>
      <c r="D1320" s="1">
        <v>3</v>
      </c>
      <c r="E1320" s="1">
        <v>3</v>
      </c>
      <c r="F1320" s="1">
        <v>3</v>
      </c>
      <c r="G1320" s="1">
        <v>0</v>
      </c>
      <c r="H1320" s="5">
        <v>0.75</v>
      </c>
      <c r="I1320" s="5">
        <v>0.96821561338289963</v>
      </c>
      <c r="J1320" s="3">
        <v>4616</v>
      </c>
      <c r="K1320">
        <v>1.6118348421285054</v>
      </c>
      <c r="L1320">
        <v>0.83903731508059176</v>
      </c>
      <c r="M1320">
        <v>1.5</v>
      </c>
    </row>
    <row r="1321" spans="1:15" x14ac:dyDescent="0.25">
      <c r="A1321" t="s">
        <v>277</v>
      </c>
      <c r="B1321" s="1" t="s">
        <v>236</v>
      </c>
      <c r="C1321" s="1">
        <v>2016</v>
      </c>
      <c r="D1321" s="1">
        <v>3</v>
      </c>
      <c r="E1321" s="1">
        <v>3</v>
      </c>
      <c r="F1321" s="1">
        <v>3</v>
      </c>
      <c r="G1321" s="1">
        <v>0</v>
      </c>
      <c r="H1321" s="2">
        <v>0.78</v>
      </c>
      <c r="I1321" s="2">
        <v>0.91153542962249279</v>
      </c>
      <c r="J1321" s="6">
        <v>4529</v>
      </c>
      <c r="K1321" s="7">
        <v>1.6118348421285054</v>
      </c>
      <c r="L1321" s="7">
        <v>0.83903731508059176</v>
      </c>
      <c r="M1321">
        <v>1.5</v>
      </c>
      <c r="O1321" s="7"/>
    </row>
    <row r="1322" spans="1:15" x14ac:dyDescent="0.25">
      <c r="A1322" t="s">
        <v>277</v>
      </c>
      <c r="B1322" s="1" t="s">
        <v>236</v>
      </c>
      <c r="C1322" s="1">
        <v>2017</v>
      </c>
      <c r="D1322" s="1">
        <v>3</v>
      </c>
      <c r="E1322" s="1">
        <v>3</v>
      </c>
      <c r="F1322" s="1">
        <v>3</v>
      </c>
      <c r="G1322" s="1">
        <v>0</v>
      </c>
      <c r="H1322" s="5">
        <v>0.69</v>
      </c>
      <c r="I1322" s="2">
        <v>1.0775591922005572</v>
      </c>
      <c r="J1322" s="3">
        <v>4606</v>
      </c>
      <c r="K1322">
        <v>1.6118348421285054</v>
      </c>
      <c r="L1322">
        <v>0.83903731508059176</v>
      </c>
      <c r="M1322">
        <v>1.5</v>
      </c>
    </row>
    <row r="1323" spans="1:15" x14ac:dyDescent="0.25">
      <c r="A1323" s="8" t="s">
        <v>277</v>
      </c>
      <c r="B1323" s="1" t="s">
        <v>236</v>
      </c>
      <c r="C1323" s="1">
        <v>2018</v>
      </c>
      <c r="D1323" s="1">
        <v>3</v>
      </c>
      <c r="E1323" s="1">
        <v>3</v>
      </c>
      <c r="F1323" s="1">
        <v>3</v>
      </c>
      <c r="G1323" s="1">
        <v>0</v>
      </c>
      <c r="H1323" s="2">
        <f>5766/4653</f>
        <v>1.2392005157962604</v>
      </c>
      <c r="I1323" s="2">
        <v>1.0031432812363572</v>
      </c>
      <c r="J1323" s="3">
        <v>4603</v>
      </c>
      <c r="K1323">
        <v>1.6118348421285054</v>
      </c>
      <c r="L1323">
        <v>0.83903731508059176</v>
      </c>
      <c r="M1323">
        <v>1.5</v>
      </c>
    </row>
    <row r="1324" spans="1:15" x14ac:dyDescent="0.25">
      <c r="A1324" s="8" t="s">
        <v>278</v>
      </c>
      <c r="B1324" s="1" t="s">
        <v>236</v>
      </c>
      <c r="C1324" s="1">
        <v>2014</v>
      </c>
      <c r="D1324" s="1">
        <v>1</v>
      </c>
      <c r="E1324" s="1">
        <v>1</v>
      </c>
      <c r="F1324" s="1">
        <v>1</v>
      </c>
      <c r="G1324" s="1">
        <v>0</v>
      </c>
      <c r="I1324" s="5">
        <v>1.0503499972441162</v>
      </c>
      <c r="J1324" s="3">
        <v>36361</v>
      </c>
      <c r="K1324">
        <v>0.63636620754023254</v>
      </c>
      <c r="L1324">
        <v>26.526571824532624</v>
      </c>
      <c r="M1324">
        <v>2407.4</v>
      </c>
    </row>
    <row r="1325" spans="1:15" x14ac:dyDescent="0.25">
      <c r="A1325" s="8" t="s">
        <v>278</v>
      </c>
      <c r="B1325" s="1" t="s">
        <v>236</v>
      </c>
      <c r="C1325" s="1">
        <v>2015</v>
      </c>
      <c r="D1325" s="1">
        <v>1</v>
      </c>
      <c r="E1325" s="1">
        <v>1</v>
      </c>
      <c r="F1325" s="1">
        <v>1</v>
      </c>
      <c r="G1325" s="1">
        <v>0</v>
      </c>
      <c r="H1325" s="5">
        <v>0.94</v>
      </c>
      <c r="I1325" s="5">
        <v>1.1048021909487784</v>
      </c>
      <c r="J1325" s="3">
        <v>36369</v>
      </c>
      <c r="K1325">
        <v>0.63636620754023254</v>
      </c>
      <c r="L1325">
        <v>26.526571824532624</v>
      </c>
      <c r="M1325">
        <v>2408</v>
      </c>
    </row>
    <row r="1326" spans="1:15" x14ac:dyDescent="0.25">
      <c r="A1326" t="s">
        <v>278</v>
      </c>
      <c r="B1326" s="1" t="s">
        <v>236</v>
      </c>
      <c r="C1326" s="1">
        <v>2016</v>
      </c>
      <c r="D1326" s="1">
        <v>1</v>
      </c>
      <c r="E1326" s="1">
        <v>1</v>
      </c>
      <c r="F1326" s="1">
        <v>1</v>
      </c>
      <c r="G1326" s="1">
        <v>0</v>
      </c>
      <c r="H1326" s="2">
        <v>1.3</v>
      </c>
      <c r="I1326" s="2">
        <v>1.0821084910648198</v>
      </c>
      <c r="J1326" s="6">
        <v>35357</v>
      </c>
      <c r="K1326" s="7">
        <v>0.63636620754023254</v>
      </c>
      <c r="L1326" s="7">
        <v>26.526571824532624</v>
      </c>
      <c r="M1326">
        <v>2409.8000000000002</v>
      </c>
      <c r="O1326" s="7"/>
    </row>
    <row r="1327" spans="1:15" x14ac:dyDescent="0.25">
      <c r="A1327" t="s">
        <v>278</v>
      </c>
      <c r="B1327" s="1" t="s">
        <v>236</v>
      </c>
      <c r="C1327" s="1">
        <v>2017</v>
      </c>
      <c r="D1327" s="1">
        <v>1</v>
      </c>
      <c r="E1327" s="1">
        <v>1</v>
      </c>
      <c r="F1327" s="1">
        <v>1</v>
      </c>
      <c r="G1327" s="1">
        <v>0</v>
      </c>
      <c r="H1327" s="5">
        <v>0.75</v>
      </c>
      <c r="I1327" s="2">
        <v>1.1078491491644948</v>
      </c>
      <c r="J1327" s="3">
        <v>36572</v>
      </c>
      <c r="K1327">
        <v>0.63636620754023254</v>
      </c>
      <c r="L1327">
        <v>26.526571824532624</v>
      </c>
      <c r="M1327">
        <v>2421.4</v>
      </c>
    </row>
    <row r="1328" spans="1:15" x14ac:dyDescent="0.25">
      <c r="A1328" s="8" t="s">
        <v>278</v>
      </c>
      <c r="B1328" s="1" t="s">
        <v>236</v>
      </c>
      <c r="C1328" s="1">
        <v>2018</v>
      </c>
      <c r="D1328" s="1">
        <v>1</v>
      </c>
      <c r="E1328" s="1">
        <v>1</v>
      </c>
      <c r="F1328" s="1">
        <v>1</v>
      </c>
      <c r="G1328" s="1">
        <v>0</v>
      </c>
      <c r="H1328" s="5">
        <v>0.62</v>
      </c>
      <c r="I1328" s="2">
        <v>1.103077194485748</v>
      </c>
      <c r="J1328" s="3">
        <v>36750</v>
      </c>
      <c r="K1328">
        <v>0.63636620754023254</v>
      </c>
      <c r="L1328">
        <v>26.526571824532624</v>
      </c>
      <c r="M1328">
        <v>2433.1999999999998</v>
      </c>
    </row>
    <row r="1329" spans="1:15" x14ac:dyDescent="0.25">
      <c r="A1329" s="8" t="s">
        <v>279</v>
      </c>
      <c r="B1329" s="1" t="s">
        <v>236</v>
      </c>
      <c r="C1329" s="1">
        <v>2014</v>
      </c>
      <c r="D1329" s="1">
        <v>1</v>
      </c>
      <c r="E1329" s="1">
        <v>2</v>
      </c>
      <c r="F1329" s="1">
        <v>1.5</v>
      </c>
      <c r="G1329" s="1">
        <v>1</v>
      </c>
      <c r="H1329" s="5">
        <v>0.77</v>
      </c>
      <c r="I1329" s="5">
        <v>0.96117266329385831</v>
      </c>
      <c r="J1329" s="3">
        <v>167376</v>
      </c>
      <c r="K1329">
        <v>1.5572718659678833</v>
      </c>
      <c r="L1329">
        <v>6.6554333617164172</v>
      </c>
      <c r="M1329">
        <v>323</v>
      </c>
    </row>
    <row r="1330" spans="1:15" x14ac:dyDescent="0.25">
      <c r="A1330" s="8" t="s">
        <v>279</v>
      </c>
      <c r="B1330" s="1" t="s">
        <v>236</v>
      </c>
      <c r="C1330" s="1">
        <v>2015</v>
      </c>
      <c r="D1330" s="1">
        <v>1</v>
      </c>
      <c r="E1330" s="1">
        <v>2</v>
      </c>
      <c r="F1330" s="1">
        <v>1.5</v>
      </c>
      <c r="G1330" s="1">
        <v>1</v>
      </c>
      <c r="H1330" s="5">
        <v>0.56000000000000005</v>
      </c>
      <c r="I1330" s="5">
        <v>1.0207412100949094</v>
      </c>
      <c r="J1330" s="3">
        <v>168433</v>
      </c>
      <c r="K1330">
        <v>1.5572718659678833</v>
      </c>
      <c r="L1330">
        <v>6.6554333617164172</v>
      </c>
      <c r="M1330">
        <v>325.10000000000002</v>
      </c>
    </row>
    <row r="1331" spans="1:15" x14ac:dyDescent="0.25">
      <c r="A1331" t="s">
        <v>279</v>
      </c>
      <c r="B1331" s="1" t="s">
        <v>236</v>
      </c>
      <c r="C1331" s="1">
        <v>2016</v>
      </c>
      <c r="D1331" s="1">
        <v>1</v>
      </c>
      <c r="E1331" s="1">
        <v>2</v>
      </c>
      <c r="F1331" s="1">
        <v>1.5</v>
      </c>
      <c r="G1331" s="1">
        <v>1</v>
      </c>
      <c r="H1331" s="2">
        <v>0.73</v>
      </c>
      <c r="I1331" s="2">
        <v>0.98553466836289905</v>
      </c>
      <c r="J1331" s="6">
        <v>166766</v>
      </c>
      <c r="K1331" s="7">
        <v>1.5572718659678833</v>
      </c>
      <c r="L1331" s="7">
        <v>6.6554333617164172</v>
      </c>
      <c r="M1331">
        <v>326.89999999999998</v>
      </c>
      <c r="O1331" s="7"/>
    </row>
    <row r="1332" spans="1:15" x14ac:dyDescent="0.25">
      <c r="A1332" t="s">
        <v>279</v>
      </c>
      <c r="B1332" s="1" t="s">
        <v>236</v>
      </c>
      <c r="C1332" s="1">
        <v>2017</v>
      </c>
      <c r="D1332" s="1">
        <v>1</v>
      </c>
      <c r="E1332" s="1">
        <v>2</v>
      </c>
      <c r="F1332" s="1">
        <v>1.5</v>
      </c>
      <c r="G1332" s="1">
        <v>1</v>
      </c>
      <c r="H1332" s="5">
        <v>1.1399999999999999</v>
      </c>
      <c r="I1332" s="2">
        <v>1.004636669574972</v>
      </c>
      <c r="J1332" s="3">
        <v>170397</v>
      </c>
      <c r="K1332">
        <v>1.5572718659678833</v>
      </c>
      <c r="L1332">
        <v>6.6554333617164172</v>
      </c>
      <c r="M1332">
        <v>328.9</v>
      </c>
    </row>
    <row r="1333" spans="1:15" x14ac:dyDescent="0.25">
      <c r="A1333" s="8" t="s">
        <v>279</v>
      </c>
      <c r="B1333" s="1" t="s">
        <v>236</v>
      </c>
      <c r="C1333" s="1">
        <v>2018</v>
      </c>
      <c r="D1333" s="1">
        <v>1</v>
      </c>
      <c r="E1333" s="1">
        <v>2</v>
      </c>
      <c r="F1333" s="1">
        <v>1.5</v>
      </c>
      <c r="G1333" s="1">
        <v>1</v>
      </c>
      <c r="H1333" s="5">
        <v>0.81</v>
      </c>
      <c r="I1333" s="2">
        <v>0.97635292571305665</v>
      </c>
      <c r="J1333" s="3">
        <v>171489</v>
      </c>
      <c r="K1333">
        <v>1.5572718659678833</v>
      </c>
      <c r="L1333">
        <v>6.6554333617164172</v>
      </c>
      <c r="M1333">
        <v>331</v>
      </c>
    </row>
    <row r="1334" spans="1:15" x14ac:dyDescent="0.25">
      <c r="A1334" s="8" t="s">
        <v>280</v>
      </c>
      <c r="B1334" s="1" t="s">
        <v>236</v>
      </c>
      <c r="C1334" s="1">
        <v>2014</v>
      </c>
      <c r="D1334" s="1">
        <v>3</v>
      </c>
      <c r="E1334" s="1">
        <v>3</v>
      </c>
      <c r="F1334" s="1">
        <v>3</v>
      </c>
      <c r="G1334" s="1">
        <v>0</v>
      </c>
      <c r="H1334" s="5">
        <v>0.48</v>
      </c>
      <c r="I1334" s="5">
        <v>0.91163040558689223</v>
      </c>
      <c r="J1334" s="3">
        <v>900</v>
      </c>
      <c r="K1334">
        <v>1.3348164627363739</v>
      </c>
      <c r="L1334">
        <v>0.77864293659621797</v>
      </c>
      <c r="M1334">
        <v>0.3</v>
      </c>
    </row>
    <row r="1335" spans="1:15" x14ac:dyDescent="0.25">
      <c r="A1335" s="8" t="s">
        <v>280</v>
      </c>
      <c r="B1335" s="1" t="s">
        <v>236</v>
      </c>
      <c r="C1335" s="1">
        <v>2015</v>
      </c>
      <c r="D1335" s="1">
        <v>3</v>
      </c>
      <c r="E1335" s="1">
        <v>3</v>
      </c>
      <c r="F1335" s="1">
        <v>3</v>
      </c>
      <c r="G1335" s="1">
        <v>0</v>
      </c>
      <c r="H1335" s="5">
        <v>0.51</v>
      </c>
      <c r="I1335" s="5">
        <v>1.0026865671641791</v>
      </c>
      <c r="J1335" s="3">
        <v>911</v>
      </c>
      <c r="K1335">
        <v>1.3348164627363739</v>
      </c>
      <c r="L1335">
        <v>0.77864293659621797</v>
      </c>
      <c r="M1335">
        <v>0.3</v>
      </c>
    </row>
    <row r="1336" spans="1:15" x14ac:dyDescent="0.25">
      <c r="A1336" t="s">
        <v>280</v>
      </c>
      <c r="B1336" s="1" t="s">
        <v>236</v>
      </c>
      <c r="C1336" s="1">
        <v>2016</v>
      </c>
      <c r="D1336" s="1">
        <v>3</v>
      </c>
      <c r="E1336" s="1">
        <v>3</v>
      </c>
      <c r="F1336" s="1">
        <v>3</v>
      </c>
      <c r="G1336" s="1">
        <v>0</v>
      </c>
      <c r="H1336" s="5">
        <v>0.43</v>
      </c>
      <c r="I1336" s="2">
        <v>0.81630740393626988</v>
      </c>
      <c r="J1336" s="6">
        <v>899</v>
      </c>
      <c r="K1336" s="7">
        <v>1.3348164627363739</v>
      </c>
      <c r="L1336" s="7">
        <v>0.77864293659621797</v>
      </c>
      <c r="M1336">
        <v>0.3</v>
      </c>
      <c r="O1336" s="7"/>
    </row>
    <row r="1337" spans="1:15" x14ac:dyDescent="0.25">
      <c r="A1337" t="s">
        <v>280</v>
      </c>
      <c r="B1337" s="1" t="s">
        <v>236</v>
      </c>
      <c r="C1337" s="1">
        <v>2017</v>
      </c>
      <c r="D1337" s="1">
        <v>3</v>
      </c>
      <c r="E1337" s="1">
        <v>3</v>
      </c>
      <c r="F1337" s="1">
        <v>3</v>
      </c>
      <c r="G1337" s="1">
        <v>0</v>
      </c>
      <c r="H1337" s="5">
        <v>0.68</v>
      </c>
      <c r="I1337" s="2">
        <v>1.1555977229601517</v>
      </c>
      <c r="J1337" s="3">
        <v>896</v>
      </c>
      <c r="K1337">
        <v>1.3348164627363739</v>
      </c>
      <c r="L1337">
        <v>0.77864293659621797</v>
      </c>
      <c r="M1337">
        <v>0.3</v>
      </c>
    </row>
    <row r="1338" spans="1:15" x14ac:dyDescent="0.25">
      <c r="A1338" s="8" t="s">
        <v>280</v>
      </c>
      <c r="B1338" s="1" t="s">
        <v>236</v>
      </c>
      <c r="C1338" s="1">
        <v>2018</v>
      </c>
      <c r="D1338" s="1">
        <v>3</v>
      </c>
      <c r="E1338" s="1">
        <v>3</v>
      </c>
      <c r="F1338" s="1">
        <v>3</v>
      </c>
      <c r="G1338" s="1">
        <v>0</v>
      </c>
      <c r="H1338" s="5">
        <v>0.92</v>
      </c>
      <c r="I1338" s="2">
        <v>1.1939586645468998</v>
      </c>
      <c r="J1338" s="3">
        <v>854</v>
      </c>
      <c r="K1338">
        <v>1.3348164627363739</v>
      </c>
      <c r="L1338">
        <v>0.77864293659621797</v>
      </c>
      <c r="M1338">
        <v>0.3</v>
      </c>
    </row>
    <row r="1339" spans="1:15" x14ac:dyDescent="0.25">
      <c r="A1339" s="8" t="s">
        <v>281</v>
      </c>
      <c r="B1339" s="1" t="s">
        <v>236</v>
      </c>
      <c r="C1339" s="1">
        <v>2014</v>
      </c>
      <c r="D1339" s="1">
        <v>3</v>
      </c>
      <c r="E1339" s="1">
        <v>3</v>
      </c>
      <c r="F1339" s="1">
        <v>3</v>
      </c>
      <c r="G1339" s="1">
        <v>0</v>
      </c>
      <c r="H1339" s="5">
        <v>-0.08</v>
      </c>
      <c r="I1339" s="5">
        <v>0.81104949681659477</v>
      </c>
      <c r="J1339" s="3">
        <v>1717</v>
      </c>
      <c r="K1339">
        <v>6.4362336114421934</v>
      </c>
      <c r="L1339">
        <v>1.2514898688915377</v>
      </c>
      <c r="M1339">
        <v>0.6</v>
      </c>
    </row>
    <row r="1340" spans="1:15" x14ac:dyDescent="0.25">
      <c r="A1340" s="8" t="s">
        <v>281</v>
      </c>
      <c r="B1340" s="1" t="s">
        <v>236</v>
      </c>
      <c r="C1340" s="1">
        <v>2015</v>
      </c>
      <c r="D1340" s="1">
        <v>3</v>
      </c>
      <c r="E1340" s="1">
        <v>3</v>
      </c>
      <c r="F1340" s="1">
        <v>3</v>
      </c>
      <c r="G1340" s="1">
        <v>0</v>
      </c>
      <c r="H1340" s="5">
        <v>0.08</v>
      </c>
      <c r="I1340" s="5">
        <v>1.0430222602739727</v>
      </c>
      <c r="J1340" s="3">
        <v>1706</v>
      </c>
      <c r="K1340">
        <v>6.4362336114421934</v>
      </c>
      <c r="L1340">
        <v>1.2514898688915377</v>
      </c>
      <c r="M1340">
        <v>0.6</v>
      </c>
    </row>
    <row r="1341" spans="1:15" x14ac:dyDescent="0.25">
      <c r="A1341" t="s">
        <v>281</v>
      </c>
      <c r="B1341" s="1" t="s">
        <v>236</v>
      </c>
      <c r="C1341" s="1">
        <v>2016</v>
      </c>
      <c r="D1341" s="1">
        <v>3</v>
      </c>
      <c r="E1341" s="1">
        <v>3</v>
      </c>
      <c r="F1341" s="1">
        <v>3</v>
      </c>
      <c r="G1341" s="1">
        <v>0</v>
      </c>
      <c r="H1341" s="2">
        <v>0.02</v>
      </c>
      <c r="I1341" s="2">
        <v>0.77729973366113503</v>
      </c>
      <c r="J1341" s="6">
        <v>1678</v>
      </c>
      <c r="K1341" s="7">
        <v>6.4362336114421934</v>
      </c>
      <c r="L1341" s="7">
        <v>1.2514898688915377</v>
      </c>
      <c r="M1341">
        <v>0.6</v>
      </c>
      <c r="O1341" s="7"/>
    </row>
    <row r="1342" spans="1:15" x14ac:dyDescent="0.25">
      <c r="A1342" t="s">
        <v>281</v>
      </c>
      <c r="B1342" s="1" t="s">
        <v>236</v>
      </c>
      <c r="C1342" s="1">
        <v>2017</v>
      </c>
      <c r="D1342" s="1">
        <v>3</v>
      </c>
      <c r="E1342" s="1">
        <v>3</v>
      </c>
      <c r="F1342" s="1">
        <v>3</v>
      </c>
      <c r="G1342" s="1">
        <v>0</v>
      </c>
      <c r="H1342" s="5">
        <v>0.09</v>
      </c>
      <c r="I1342" s="2">
        <v>1.1013316011692107</v>
      </c>
      <c r="J1342" s="3">
        <v>1721</v>
      </c>
      <c r="K1342">
        <v>6.4362336114421934</v>
      </c>
      <c r="L1342">
        <v>1.2514898688915377</v>
      </c>
      <c r="M1342">
        <v>0.6</v>
      </c>
    </row>
    <row r="1343" spans="1:15" x14ac:dyDescent="0.25">
      <c r="A1343" s="8" t="s">
        <v>281</v>
      </c>
      <c r="B1343" s="1" t="s">
        <v>236</v>
      </c>
      <c r="C1343" s="1">
        <v>2018</v>
      </c>
      <c r="D1343" s="1">
        <v>3</v>
      </c>
      <c r="E1343" s="1">
        <v>3</v>
      </c>
      <c r="F1343" s="1">
        <v>3</v>
      </c>
      <c r="G1343" s="1">
        <v>0</v>
      </c>
      <c r="H1343" s="5">
        <v>14.01</v>
      </c>
      <c r="I1343" s="2">
        <v>0.79089961792288987</v>
      </c>
      <c r="J1343" s="3">
        <v>1700</v>
      </c>
      <c r="K1343">
        <v>6.4362336114421934</v>
      </c>
      <c r="L1343">
        <v>1.2514898688915377</v>
      </c>
      <c r="M1343">
        <v>0.6</v>
      </c>
    </row>
    <row r="1344" spans="1:15" x14ac:dyDescent="0.25">
      <c r="A1344" s="8" t="s">
        <v>282</v>
      </c>
      <c r="B1344" s="1" t="s">
        <v>236</v>
      </c>
      <c r="C1344" s="1">
        <v>2014</v>
      </c>
      <c r="D1344" s="1">
        <v>1</v>
      </c>
      <c r="E1344" s="1">
        <v>2</v>
      </c>
      <c r="F1344" s="1">
        <v>1.5</v>
      </c>
      <c r="G1344" s="1">
        <v>1</v>
      </c>
      <c r="H1344" s="5">
        <v>0.74</v>
      </c>
      <c r="I1344" s="5">
        <v>0.93104613416679738</v>
      </c>
      <c r="J1344" s="3">
        <v>87380</v>
      </c>
      <c r="K1344">
        <v>3.455104895104895</v>
      </c>
      <c r="L1344">
        <v>12.436363636363636</v>
      </c>
      <c r="M1344">
        <v>253.1</v>
      </c>
    </row>
    <row r="1345" spans="1:15" x14ac:dyDescent="0.25">
      <c r="A1345" s="8" t="s">
        <v>282</v>
      </c>
      <c r="B1345" s="1" t="s">
        <v>236</v>
      </c>
      <c r="C1345" s="1">
        <v>2015</v>
      </c>
      <c r="D1345" s="1">
        <v>1</v>
      </c>
      <c r="E1345" s="1">
        <v>2</v>
      </c>
      <c r="F1345" s="1">
        <v>1.5</v>
      </c>
      <c r="G1345" s="1">
        <v>1</v>
      </c>
      <c r="H1345" s="5">
        <v>1.03</v>
      </c>
      <c r="I1345" s="5">
        <v>1.061895020742146</v>
      </c>
      <c r="J1345" s="3">
        <v>88980</v>
      </c>
      <c r="K1345">
        <v>3.455104895104895</v>
      </c>
      <c r="L1345">
        <v>12.436363636363636</v>
      </c>
      <c r="M1345">
        <v>257.8</v>
      </c>
    </row>
    <row r="1346" spans="1:15" x14ac:dyDescent="0.25">
      <c r="A1346" t="s">
        <v>282</v>
      </c>
      <c r="B1346" s="1" t="s">
        <v>236</v>
      </c>
      <c r="C1346" s="1">
        <v>2016</v>
      </c>
      <c r="D1346" s="1">
        <v>1</v>
      </c>
      <c r="E1346" s="1">
        <v>2</v>
      </c>
      <c r="F1346" s="1">
        <v>1.5</v>
      </c>
      <c r="G1346" s="1">
        <v>1</v>
      </c>
      <c r="H1346" s="5">
        <v>0.86</v>
      </c>
      <c r="I1346" s="2">
        <v>0.96441960101753921</v>
      </c>
      <c r="J1346" s="6">
        <v>89375</v>
      </c>
      <c r="K1346" s="7">
        <v>3.455104895104895</v>
      </c>
      <c r="L1346" s="7">
        <v>12.436363636363636</v>
      </c>
      <c r="M1346">
        <v>262.3</v>
      </c>
      <c r="O1346" s="7"/>
    </row>
    <row r="1347" spans="1:15" x14ac:dyDescent="0.25">
      <c r="A1347" t="s">
        <v>282</v>
      </c>
      <c r="B1347" s="1" t="s">
        <v>236</v>
      </c>
      <c r="C1347" s="1">
        <v>2017</v>
      </c>
      <c r="D1347" s="1">
        <v>1</v>
      </c>
      <c r="E1347" s="1">
        <v>2</v>
      </c>
      <c r="F1347" s="1">
        <v>1.5</v>
      </c>
      <c r="G1347" s="1">
        <v>1</v>
      </c>
      <c r="H1347" s="5">
        <v>0.79</v>
      </c>
      <c r="I1347" s="2">
        <v>1.0959055135300346</v>
      </c>
      <c r="J1347" s="3">
        <v>92063</v>
      </c>
      <c r="K1347">
        <v>3.455104895104895</v>
      </c>
      <c r="L1347">
        <v>12.436363636363636</v>
      </c>
      <c r="M1347">
        <v>266.7</v>
      </c>
    </row>
    <row r="1348" spans="1:15" x14ac:dyDescent="0.25">
      <c r="A1348" s="8" t="s">
        <v>282</v>
      </c>
      <c r="B1348" s="1" t="s">
        <v>236</v>
      </c>
      <c r="C1348" s="1">
        <v>2018</v>
      </c>
      <c r="D1348" s="1">
        <v>1</v>
      </c>
      <c r="E1348" s="1">
        <v>2</v>
      </c>
      <c r="F1348" s="1">
        <v>1.5</v>
      </c>
      <c r="G1348" s="1">
        <v>1</v>
      </c>
      <c r="H1348" s="5">
        <v>0.87</v>
      </c>
      <c r="I1348" s="2">
        <v>1.0384934461589514</v>
      </c>
      <c r="J1348" s="3">
        <v>93426</v>
      </c>
      <c r="K1348">
        <v>3.455104895104895</v>
      </c>
      <c r="L1348">
        <v>12.436363636363636</v>
      </c>
      <c r="M1348">
        <v>270.60000000000002</v>
      </c>
    </row>
    <row r="1349" spans="1:15" x14ac:dyDescent="0.25">
      <c r="A1349" s="8" t="s">
        <v>283</v>
      </c>
      <c r="B1349" s="1" t="s">
        <v>236</v>
      </c>
      <c r="C1349" s="1">
        <v>2014</v>
      </c>
      <c r="D1349" s="1">
        <v>1</v>
      </c>
      <c r="E1349" s="1">
        <v>1</v>
      </c>
      <c r="F1349" s="1">
        <v>1</v>
      </c>
      <c r="G1349" s="1">
        <v>0</v>
      </c>
      <c r="H1349" s="5">
        <v>0.86</v>
      </c>
      <c r="I1349" s="5">
        <v>0.9618666589356295</v>
      </c>
      <c r="J1349" s="3">
        <v>121422</v>
      </c>
      <c r="K1349">
        <v>2.3170258922900531</v>
      </c>
      <c r="L1349">
        <v>32.301436077635628</v>
      </c>
      <c r="M1349">
        <v>1323.3</v>
      </c>
    </row>
    <row r="1350" spans="1:15" x14ac:dyDescent="0.25">
      <c r="A1350" s="8" t="s">
        <v>283</v>
      </c>
      <c r="B1350" s="1" t="s">
        <v>236</v>
      </c>
      <c r="C1350" s="1">
        <v>2015</v>
      </c>
      <c r="D1350" s="1">
        <v>1</v>
      </c>
      <c r="E1350" s="1">
        <v>1</v>
      </c>
      <c r="F1350" s="1">
        <v>1</v>
      </c>
      <c r="G1350" s="1">
        <v>0</v>
      </c>
      <c r="H1350" s="5">
        <v>0.87</v>
      </c>
      <c r="I1350" s="5">
        <v>1.0673369254387286</v>
      </c>
      <c r="J1350" s="3">
        <v>122766</v>
      </c>
      <c r="K1350">
        <v>2.3170258922900531</v>
      </c>
      <c r="L1350">
        <v>32.301436077635628</v>
      </c>
      <c r="M1350">
        <v>1337.9</v>
      </c>
    </row>
    <row r="1351" spans="1:15" x14ac:dyDescent="0.25">
      <c r="A1351" t="s">
        <v>283</v>
      </c>
      <c r="B1351" s="1" t="s">
        <v>236</v>
      </c>
      <c r="C1351" s="1">
        <v>2016</v>
      </c>
      <c r="D1351" s="1">
        <v>1</v>
      </c>
      <c r="E1351" s="1">
        <v>1</v>
      </c>
      <c r="F1351" s="1">
        <v>1</v>
      </c>
      <c r="G1351" s="1">
        <v>0</v>
      </c>
      <c r="H1351" s="2">
        <v>0.73</v>
      </c>
      <c r="I1351" s="2">
        <v>0.98389978815510726</v>
      </c>
      <c r="J1351" s="6">
        <v>121233</v>
      </c>
      <c r="K1351" s="7">
        <v>2.3170258922900531</v>
      </c>
      <c r="L1351" s="7">
        <v>32.301436077635628</v>
      </c>
      <c r="M1351">
        <v>1351.4</v>
      </c>
      <c r="O1351" s="7"/>
    </row>
    <row r="1352" spans="1:15" x14ac:dyDescent="0.25">
      <c r="A1352" t="s">
        <v>283</v>
      </c>
      <c r="B1352" s="1" t="s">
        <v>236</v>
      </c>
      <c r="C1352" s="1">
        <v>2017</v>
      </c>
      <c r="D1352" s="1">
        <v>1</v>
      </c>
      <c r="E1352" s="1">
        <v>1</v>
      </c>
      <c r="F1352" s="1">
        <v>1</v>
      </c>
      <c r="G1352" s="1">
        <v>0</v>
      </c>
      <c r="H1352" s="5">
        <v>0.47</v>
      </c>
      <c r="I1352" s="2">
        <v>1.0299845798682603</v>
      </c>
      <c r="J1352" s="3">
        <v>124849</v>
      </c>
      <c r="K1352">
        <v>2.3170258922900531</v>
      </c>
      <c r="L1352">
        <v>32.301436077635628</v>
      </c>
      <c r="M1352">
        <v>1360.6</v>
      </c>
    </row>
    <row r="1353" spans="1:15" x14ac:dyDescent="0.25">
      <c r="A1353" s="8" t="s">
        <v>283</v>
      </c>
      <c r="B1353" s="1" t="s">
        <v>236</v>
      </c>
      <c r="C1353" s="1">
        <v>2018</v>
      </c>
      <c r="D1353" s="1">
        <v>1</v>
      </c>
      <c r="E1353" s="1">
        <v>1</v>
      </c>
      <c r="F1353" s="1">
        <v>1</v>
      </c>
      <c r="G1353" s="1">
        <v>0</v>
      </c>
      <c r="H1353" s="5">
        <v>0.59</v>
      </c>
      <c r="I1353" s="2">
        <v>1.0230625786027148</v>
      </c>
      <c r="J1353" s="3">
        <v>126120</v>
      </c>
      <c r="K1353">
        <v>2.3170258922900531</v>
      </c>
      <c r="L1353">
        <v>32.301436077635628</v>
      </c>
      <c r="M1353">
        <v>1374.5</v>
      </c>
    </row>
    <row r="1354" spans="1:15" x14ac:dyDescent="0.25">
      <c r="A1354" s="8" t="s">
        <v>284</v>
      </c>
      <c r="B1354" s="1" t="s">
        <v>236</v>
      </c>
      <c r="C1354" s="1">
        <v>2014</v>
      </c>
      <c r="D1354" s="1">
        <v>3</v>
      </c>
      <c r="E1354" s="1">
        <v>3</v>
      </c>
      <c r="F1354" s="1">
        <v>3</v>
      </c>
      <c r="G1354" s="1">
        <v>0</v>
      </c>
      <c r="H1354" s="5">
        <v>0.47</v>
      </c>
      <c r="I1354" s="5">
        <v>0.83646666313615425</v>
      </c>
      <c r="J1354" s="3">
        <v>14498</v>
      </c>
      <c r="K1354">
        <v>18.208803938604113</v>
      </c>
      <c r="L1354">
        <v>4.2571676802780196</v>
      </c>
      <c r="M1354">
        <v>12.1</v>
      </c>
    </row>
    <row r="1355" spans="1:15" x14ac:dyDescent="0.25">
      <c r="A1355" s="8" t="s">
        <v>284</v>
      </c>
      <c r="B1355" s="1" t="s">
        <v>236</v>
      </c>
      <c r="C1355" s="1">
        <v>2015</v>
      </c>
      <c r="D1355" s="1">
        <v>3</v>
      </c>
      <c r="E1355" s="1">
        <v>3</v>
      </c>
      <c r="F1355" s="1">
        <v>3</v>
      </c>
      <c r="G1355" s="1">
        <v>0</v>
      </c>
      <c r="H1355" s="5">
        <v>0.26100000000000001</v>
      </c>
      <c r="I1355" s="5">
        <v>0.93489712752211507</v>
      </c>
      <c r="J1355" s="3">
        <v>14442</v>
      </c>
      <c r="K1355">
        <v>18.208803938604113</v>
      </c>
      <c r="L1355">
        <v>4.2571676802780196</v>
      </c>
      <c r="M1355">
        <v>12.1</v>
      </c>
    </row>
    <row r="1356" spans="1:15" x14ac:dyDescent="0.25">
      <c r="A1356" t="s">
        <v>284</v>
      </c>
      <c r="B1356" s="1" t="s">
        <v>236</v>
      </c>
      <c r="C1356" s="1">
        <v>2016</v>
      </c>
      <c r="D1356" s="1">
        <v>3</v>
      </c>
      <c r="E1356" s="1">
        <v>3</v>
      </c>
      <c r="F1356" s="1">
        <v>3</v>
      </c>
      <c r="G1356" s="1">
        <v>0</v>
      </c>
      <c r="H1356" s="5">
        <v>0.23699999999999999</v>
      </c>
      <c r="I1356" s="2">
        <v>0.92377536431814189</v>
      </c>
      <c r="J1356" s="6">
        <v>13812</v>
      </c>
      <c r="K1356" s="7">
        <v>18.208803938604113</v>
      </c>
      <c r="L1356" s="7">
        <v>4.2571676802780196</v>
      </c>
      <c r="M1356">
        <v>12</v>
      </c>
      <c r="O1356" s="7"/>
    </row>
    <row r="1357" spans="1:15" x14ac:dyDescent="0.25">
      <c r="A1357" t="s">
        <v>284</v>
      </c>
      <c r="B1357" s="1" t="s">
        <v>236</v>
      </c>
      <c r="C1357" s="1">
        <v>2017</v>
      </c>
      <c r="D1357" s="1">
        <v>3</v>
      </c>
      <c r="E1357" s="1">
        <v>3</v>
      </c>
      <c r="F1357" s="1">
        <v>3</v>
      </c>
      <c r="G1357" s="1">
        <v>0</v>
      </c>
      <c r="H1357" s="5">
        <v>0.19400000000000001</v>
      </c>
      <c r="I1357" s="2">
        <v>0.96968385623272024</v>
      </c>
      <c r="J1357" s="3">
        <v>14265</v>
      </c>
      <c r="K1357">
        <v>18.208803938604113</v>
      </c>
      <c r="L1357">
        <v>4.2571676802780196</v>
      </c>
      <c r="M1357">
        <v>11.9</v>
      </c>
    </row>
    <row r="1358" spans="1:15" x14ac:dyDescent="0.25">
      <c r="A1358" s="8" t="s">
        <v>284</v>
      </c>
      <c r="B1358" s="1" t="s">
        <v>236</v>
      </c>
      <c r="C1358" s="1">
        <v>2018</v>
      </c>
      <c r="D1358" s="1">
        <v>3</v>
      </c>
      <c r="E1358" s="1">
        <v>3</v>
      </c>
      <c r="F1358" s="1">
        <v>3</v>
      </c>
      <c r="G1358" s="1">
        <v>0</v>
      </c>
      <c r="H1358" s="5">
        <v>0.40100000000000002</v>
      </c>
      <c r="I1358" s="2">
        <v>1.0640406826409239</v>
      </c>
      <c r="J1358" s="3">
        <v>14102</v>
      </c>
      <c r="K1358">
        <v>18.208803938604113</v>
      </c>
      <c r="L1358">
        <v>4.2571676802780196</v>
      </c>
      <c r="M1358">
        <v>11.8</v>
      </c>
    </row>
    <row r="1359" spans="1:15" x14ac:dyDescent="0.25">
      <c r="A1359" s="8" t="s">
        <v>285</v>
      </c>
      <c r="B1359" s="1" t="s">
        <v>236</v>
      </c>
      <c r="C1359" s="1">
        <v>2014</v>
      </c>
      <c r="D1359" s="1">
        <v>4</v>
      </c>
      <c r="E1359" s="1">
        <v>4</v>
      </c>
      <c r="F1359" s="1">
        <v>4</v>
      </c>
      <c r="G1359" s="1">
        <v>0</v>
      </c>
      <c r="H1359" s="5">
        <v>3.11</v>
      </c>
      <c r="I1359" s="5">
        <v>0.9875977004069505</v>
      </c>
      <c r="J1359" s="3">
        <v>14595</v>
      </c>
      <c r="K1359">
        <v>5.1486275067557958</v>
      </c>
      <c r="L1359">
        <v>3.5414592518845116</v>
      </c>
      <c r="M1359">
        <v>480.6</v>
      </c>
    </row>
    <row r="1360" spans="1:15" x14ac:dyDescent="0.25">
      <c r="A1360" s="8" t="s">
        <v>285</v>
      </c>
      <c r="B1360" s="1" t="s">
        <v>236</v>
      </c>
      <c r="C1360" s="1">
        <v>2015</v>
      </c>
      <c r="D1360" s="1">
        <v>4</v>
      </c>
      <c r="E1360" s="1">
        <v>4</v>
      </c>
      <c r="F1360" s="1">
        <v>4</v>
      </c>
      <c r="G1360" s="1">
        <v>0</v>
      </c>
      <c r="H1360" s="5">
        <v>3.13</v>
      </c>
      <c r="I1360" s="5">
        <v>1.0406470588235295</v>
      </c>
      <c r="J1360" s="3">
        <v>14585</v>
      </c>
      <c r="K1360">
        <v>5.1486275067557958</v>
      </c>
      <c r="L1360">
        <v>3.5414592518845116</v>
      </c>
      <c r="M1360">
        <v>480.3</v>
      </c>
    </row>
    <row r="1361" spans="1:15" x14ac:dyDescent="0.25">
      <c r="A1361" t="s">
        <v>285</v>
      </c>
      <c r="B1361" s="1" t="s">
        <v>236</v>
      </c>
      <c r="C1361" s="1">
        <v>2016</v>
      </c>
      <c r="D1361" s="1">
        <v>4</v>
      </c>
      <c r="E1361" s="1">
        <v>4</v>
      </c>
      <c r="F1361" s="1">
        <v>4</v>
      </c>
      <c r="G1361" s="1">
        <v>0</v>
      </c>
      <c r="H1361" s="2">
        <v>1</v>
      </c>
      <c r="I1361" s="2">
        <v>0.95271055690584383</v>
      </c>
      <c r="J1361" s="6">
        <v>14062</v>
      </c>
      <c r="K1361" s="7">
        <v>5.1486275067557958</v>
      </c>
      <c r="L1361" s="7">
        <v>3.5414592518845116</v>
      </c>
      <c r="M1361">
        <v>478.2</v>
      </c>
      <c r="O1361" s="7"/>
    </row>
    <row r="1362" spans="1:15" x14ac:dyDescent="0.25">
      <c r="A1362" t="s">
        <v>285</v>
      </c>
      <c r="B1362" s="1" t="s">
        <v>236</v>
      </c>
      <c r="C1362" s="1">
        <v>2017</v>
      </c>
      <c r="D1362" s="1">
        <v>4</v>
      </c>
      <c r="E1362" s="1">
        <v>4</v>
      </c>
      <c r="F1362" s="1">
        <v>4</v>
      </c>
      <c r="G1362" s="1">
        <v>0</v>
      </c>
      <c r="H1362" s="5">
        <v>0.91</v>
      </c>
      <c r="I1362" s="2">
        <v>1.024476059354444</v>
      </c>
      <c r="J1362" s="3">
        <v>14591</v>
      </c>
      <c r="K1362">
        <v>5.1486275067557958</v>
      </c>
      <c r="L1362">
        <v>3.5414592518845116</v>
      </c>
      <c r="M1362">
        <v>480.5</v>
      </c>
    </row>
    <row r="1363" spans="1:15" x14ac:dyDescent="0.25">
      <c r="A1363" s="8" t="s">
        <v>285</v>
      </c>
      <c r="B1363" s="1" t="s">
        <v>236</v>
      </c>
      <c r="C1363" s="1">
        <v>2018</v>
      </c>
      <c r="D1363" s="1">
        <v>4</v>
      </c>
      <c r="E1363" s="1">
        <v>4</v>
      </c>
      <c r="F1363" s="1">
        <v>4</v>
      </c>
      <c r="G1363" s="1">
        <v>0</v>
      </c>
      <c r="H1363" s="5">
        <v>0.15</v>
      </c>
      <c r="I1363" s="2">
        <v>0.97937896558354154</v>
      </c>
      <c r="J1363" s="3">
        <v>14626</v>
      </c>
      <c r="K1363">
        <v>5.1486275067557958</v>
      </c>
      <c r="L1363">
        <v>3.5414592518845116</v>
      </c>
      <c r="M1363">
        <v>481.6</v>
      </c>
    </row>
    <row r="1364" spans="1:15" x14ac:dyDescent="0.25">
      <c r="A1364" s="8" t="s">
        <v>286</v>
      </c>
      <c r="B1364" s="1" t="s">
        <v>236</v>
      </c>
      <c r="C1364" s="1">
        <v>2014</v>
      </c>
      <c r="D1364" s="1">
        <v>3</v>
      </c>
      <c r="E1364" s="1">
        <v>3</v>
      </c>
      <c r="F1364" s="1">
        <v>3</v>
      </c>
      <c r="G1364" s="1">
        <v>0</v>
      </c>
      <c r="H1364" s="5">
        <v>0.71</v>
      </c>
      <c r="I1364" s="5">
        <v>0.88599288322011183</v>
      </c>
      <c r="J1364" s="3">
        <v>17870</v>
      </c>
      <c r="K1364">
        <v>3.6576234087898158</v>
      </c>
      <c r="L1364">
        <v>4.216346984620702</v>
      </c>
      <c r="M1364">
        <v>10.1</v>
      </c>
    </row>
    <row r="1365" spans="1:15" x14ac:dyDescent="0.25">
      <c r="A1365" s="8" t="s">
        <v>286</v>
      </c>
      <c r="B1365" s="1" t="s">
        <v>236</v>
      </c>
      <c r="C1365" s="1">
        <v>2015</v>
      </c>
      <c r="D1365" s="1">
        <v>3</v>
      </c>
      <c r="E1365" s="1">
        <v>3</v>
      </c>
      <c r="F1365" s="1">
        <v>3</v>
      </c>
      <c r="G1365" s="1">
        <v>0</v>
      </c>
      <c r="H1365" s="5">
        <v>0.6</v>
      </c>
      <c r="I1365" s="5">
        <v>1.0504895045102818</v>
      </c>
      <c r="J1365" s="3">
        <v>17826</v>
      </c>
      <c r="K1365">
        <v>3.6576234087898158</v>
      </c>
      <c r="L1365">
        <v>4.216346984620702</v>
      </c>
      <c r="M1365">
        <v>10.1</v>
      </c>
    </row>
    <row r="1366" spans="1:15" x14ac:dyDescent="0.25">
      <c r="A1366" t="s">
        <v>286</v>
      </c>
      <c r="B1366" s="1" t="s">
        <v>236</v>
      </c>
      <c r="C1366" s="1">
        <v>2016</v>
      </c>
      <c r="D1366" s="1">
        <v>3</v>
      </c>
      <c r="E1366" s="1">
        <v>3</v>
      </c>
      <c r="F1366" s="1">
        <v>3</v>
      </c>
      <c r="G1366" s="1">
        <v>0</v>
      </c>
      <c r="H1366" s="2">
        <v>1.06</v>
      </c>
      <c r="I1366" s="2">
        <v>0.96303981325379329</v>
      </c>
      <c r="J1366" s="6">
        <v>17361</v>
      </c>
      <c r="K1366" s="7">
        <v>3.6576234087898158</v>
      </c>
      <c r="L1366" s="7">
        <v>4.216346984620702</v>
      </c>
      <c r="M1366">
        <v>10.1</v>
      </c>
      <c r="O1366" s="7"/>
    </row>
    <row r="1367" spans="1:15" x14ac:dyDescent="0.25">
      <c r="A1367" t="s">
        <v>286</v>
      </c>
      <c r="B1367" s="1" t="s">
        <v>236</v>
      </c>
      <c r="C1367" s="1">
        <v>2017</v>
      </c>
      <c r="D1367" s="1">
        <v>3</v>
      </c>
      <c r="E1367" s="1">
        <v>3</v>
      </c>
      <c r="F1367" s="1">
        <v>3</v>
      </c>
      <c r="G1367" s="1">
        <v>0</v>
      </c>
      <c r="H1367" s="5">
        <v>0.65</v>
      </c>
      <c r="I1367" s="2">
        <v>1.0937347833143971</v>
      </c>
      <c r="J1367" s="3">
        <v>17716</v>
      </c>
      <c r="K1367">
        <v>3.6576234087898158</v>
      </c>
      <c r="L1367">
        <v>4.216346984620702</v>
      </c>
      <c r="M1367">
        <v>10.1</v>
      </c>
    </row>
    <row r="1368" spans="1:15" x14ac:dyDescent="0.25">
      <c r="A1368" s="8" t="s">
        <v>286</v>
      </c>
      <c r="B1368" s="1" t="s">
        <v>236</v>
      </c>
      <c r="C1368" s="1">
        <v>2018</v>
      </c>
      <c r="D1368" s="1">
        <v>3</v>
      </c>
      <c r="E1368" s="1">
        <v>3</v>
      </c>
      <c r="F1368" s="1">
        <v>3</v>
      </c>
      <c r="G1368" s="1">
        <v>0</v>
      </c>
      <c r="H1368" s="5">
        <v>0.95</v>
      </c>
      <c r="I1368" s="2">
        <v>1.036798453981802</v>
      </c>
      <c r="J1368" s="3">
        <v>17630</v>
      </c>
      <c r="K1368">
        <v>3.6576234087898158</v>
      </c>
      <c r="L1368">
        <v>4.216346984620702</v>
      </c>
      <c r="M1368">
        <v>10</v>
      </c>
    </row>
    <row r="1369" spans="1:15" x14ac:dyDescent="0.25">
      <c r="A1369" s="8" t="s">
        <v>287</v>
      </c>
      <c r="B1369" s="1" t="s">
        <v>236</v>
      </c>
      <c r="C1369" s="1">
        <v>2014</v>
      </c>
      <c r="D1369" s="1">
        <v>1</v>
      </c>
      <c r="E1369" s="1">
        <v>1</v>
      </c>
      <c r="F1369" s="1">
        <v>1</v>
      </c>
      <c r="G1369" s="1">
        <v>0</v>
      </c>
      <c r="H1369" s="5">
        <v>0.5</v>
      </c>
      <c r="I1369" s="5">
        <v>1.0196528175989157</v>
      </c>
      <c r="J1369" s="3">
        <v>21050</v>
      </c>
      <c r="K1369">
        <v>0.8039760268966526</v>
      </c>
      <c r="L1369">
        <v>26.073186181357499</v>
      </c>
      <c r="M1369">
        <v>2701.7</v>
      </c>
    </row>
    <row r="1370" spans="1:15" x14ac:dyDescent="0.25">
      <c r="A1370" s="8" t="s">
        <v>287</v>
      </c>
      <c r="B1370" s="1" t="s">
        <v>236</v>
      </c>
      <c r="C1370" s="1">
        <v>2015</v>
      </c>
      <c r="D1370" s="1">
        <v>1</v>
      </c>
      <c r="E1370" s="1">
        <v>1</v>
      </c>
      <c r="F1370" s="1">
        <v>1</v>
      </c>
      <c r="G1370" s="1">
        <v>0</v>
      </c>
      <c r="H1370" s="5">
        <v>1.18</v>
      </c>
      <c r="I1370" s="5">
        <v>1.0149467551692852</v>
      </c>
      <c r="J1370" s="3">
        <v>21096</v>
      </c>
      <c r="K1370">
        <v>0.8039760268966526</v>
      </c>
      <c r="L1370">
        <v>26.073186181357499</v>
      </c>
      <c r="M1370">
        <v>2707.6</v>
      </c>
    </row>
    <row r="1371" spans="1:15" x14ac:dyDescent="0.25">
      <c r="A1371" t="s">
        <v>287</v>
      </c>
      <c r="B1371" s="1" t="s">
        <v>236</v>
      </c>
      <c r="C1371" s="1">
        <v>2016</v>
      </c>
      <c r="D1371" s="1">
        <v>1</v>
      </c>
      <c r="E1371" s="1">
        <v>1</v>
      </c>
      <c r="F1371" s="1">
        <v>1</v>
      </c>
      <c r="G1371" s="1">
        <v>0</v>
      </c>
      <c r="H1371" s="2">
        <v>1.1599999999999999</v>
      </c>
      <c r="I1371" s="2">
        <v>1.0045771880345833</v>
      </c>
      <c r="J1371" s="6">
        <v>20523</v>
      </c>
      <c r="K1371" s="7">
        <v>0.8039760268966526</v>
      </c>
      <c r="L1371" s="7">
        <v>26.073186181357499</v>
      </c>
      <c r="M1371">
        <v>2711.2</v>
      </c>
      <c r="O1371" s="7"/>
    </row>
    <row r="1372" spans="1:15" x14ac:dyDescent="0.25">
      <c r="A1372" t="s">
        <v>287</v>
      </c>
      <c r="B1372" s="1" t="s">
        <v>236</v>
      </c>
      <c r="C1372" s="1">
        <v>2017</v>
      </c>
      <c r="D1372" s="1">
        <v>1</v>
      </c>
      <c r="E1372" s="1">
        <v>1</v>
      </c>
      <c r="F1372" s="1">
        <v>1</v>
      </c>
      <c r="G1372" s="1">
        <v>0</v>
      </c>
      <c r="H1372" s="5">
        <v>0.86</v>
      </c>
      <c r="I1372" s="2">
        <v>0.99575146043547536</v>
      </c>
      <c r="J1372" s="3">
        <v>21172</v>
      </c>
      <c r="K1372">
        <v>0.8039760268966526</v>
      </c>
      <c r="L1372">
        <v>26.073186181357499</v>
      </c>
      <c r="M1372">
        <v>2717.3</v>
      </c>
    </row>
    <row r="1373" spans="1:15" x14ac:dyDescent="0.25">
      <c r="A1373" s="8" t="s">
        <v>287</v>
      </c>
      <c r="B1373" s="1" t="s">
        <v>236</v>
      </c>
      <c r="C1373" s="1">
        <v>2018</v>
      </c>
      <c r="D1373" s="1">
        <v>1</v>
      </c>
      <c r="E1373" s="1">
        <v>1</v>
      </c>
      <c r="F1373" s="1">
        <v>1</v>
      </c>
      <c r="G1373" s="1">
        <v>0</v>
      </c>
      <c r="H1373" s="5">
        <v>2.21</v>
      </c>
      <c r="I1373" s="2">
        <v>1.0676913453375632</v>
      </c>
      <c r="J1373" s="3">
        <v>21259</v>
      </c>
      <c r="K1373">
        <v>0.8039760268966526</v>
      </c>
      <c r="L1373">
        <v>26.073186181357499</v>
      </c>
      <c r="M1373">
        <v>2728.5</v>
      </c>
    </row>
    <row r="1374" spans="1:15" x14ac:dyDescent="0.25">
      <c r="A1374" s="8" t="s">
        <v>288</v>
      </c>
      <c r="B1374" s="1" t="s">
        <v>236</v>
      </c>
      <c r="C1374" s="1">
        <v>2014</v>
      </c>
      <c r="D1374" s="1">
        <v>3</v>
      </c>
      <c r="E1374" s="1">
        <v>3</v>
      </c>
      <c r="F1374" s="1">
        <v>3</v>
      </c>
      <c r="G1374" s="1">
        <v>0</v>
      </c>
      <c r="H1374" s="5">
        <v>0.73</v>
      </c>
      <c r="I1374" s="5">
        <v>0.91658676893576219</v>
      </c>
      <c r="J1374" s="3">
        <v>9656</v>
      </c>
      <c r="K1374">
        <v>2.6490765171503958</v>
      </c>
      <c r="L1374">
        <v>13.625329815303431</v>
      </c>
      <c r="M1374">
        <v>10.5</v>
      </c>
    </row>
    <row r="1375" spans="1:15" x14ac:dyDescent="0.25">
      <c r="A1375" s="8" t="s">
        <v>288</v>
      </c>
      <c r="B1375" s="1" t="s">
        <v>236</v>
      </c>
      <c r="C1375" s="1">
        <v>2015</v>
      </c>
      <c r="D1375" s="1">
        <v>3</v>
      </c>
      <c r="E1375" s="1">
        <v>3</v>
      </c>
      <c r="F1375" s="1">
        <v>3</v>
      </c>
      <c r="G1375" s="1">
        <v>0</v>
      </c>
      <c r="H1375" s="5">
        <v>1.29</v>
      </c>
      <c r="I1375" s="5">
        <v>1.1434904936482224</v>
      </c>
      <c r="J1375" s="3">
        <v>9722</v>
      </c>
      <c r="K1375">
        <v>2.6490765171503958</v>
      </c>
      <c r="L1375">
        <v>13.625329815303431</v>
      </c>
      <c r="M1375">
        <v>10.6</v>
      </c>
    </row>
    <row r="1376" spans="1:15" x14ac:dyDescent="0.25">
      <c r="A1376" t="s">
        <v>288</v>
      </c>
      <c r="B1376" s="1" t="s">
        <v>236</v>
      </c>
      <c r="C1376" s="1">
        <v>2016</v>
      </c>
      <c r="D1376" s="1">
        <v>3</v>
      </c>
      <c r="E1376" s="1">
        <v>3</v>
      </c>
      <c r="F1376" s="1">
        <v>3</v>
      </c>
      <c r="G1376" s="1">
        <v>0</v>
      </c>
      <c r="H1376" s="5">
        <v>1.08</v>
      </c>
      <c r="I1376" s="2">
        <v>0.90689821514712976</v>
      </c>
      <c r="J1376" s="6">
        <v>9475</v>
      </c>
      <c r="K1376" s="7">
        <v>2.6490765171503958</v>
      </c>
      <c r="L1376" s="7">
        <v>13.625329815303431</v>
      </c>
      <c r="M1376">
        <v>10.7</v>
      </c>
      <c r="O1376" s="7"/>
    </row>
    <row r="1377" spans="1:15" x14ac:dyDescent="0.25">
      <c r="A1377" t="s">
        <v>288</v>
      </c>
      <c r="B1377" s="1" t="s">
        <v>236</v>
      </c>
      <c r="C1377" s="1">
        <v>2017</v>
      </c>
      <c r="D1377" s="1">
        <v>3</v>
      </c>
      <c r="E1377" s="1">
        <v>3</v>
      </c>
      <c r="F1377" s="1">
        <v>3</v>
      </c>
      <c r="G1377" s="1">
        <v>0</v>
      </c>
      <c r="H1377" s="5">
        <v>1.02</v>
      </c>
      <c r="I1377" s="2">
        <v>1.1214264219079146</v>
      </c>
      <c r="J1377" s="3">
        <v>9853</v>
      </c>
      <c r="K1377">
        <v>2.6490765171503958</v>
      </c>
      <c r="L1377">
        <v>13.625329815303431</v>
      </c>
      <c r="M1377">
        <v>10.8</v>
      </c>
    </row>
    <row r="1378" spans="1:15" x14ac:dyDescent="0.25">
      <c r="A1378" s="8" t="s">
        <v>288</v>
      </c>
      <c r="B1378" s="1" t="s">
        <v>236</v>
      </c>
      <c r="C1378" s="1">
        <v>2018</v>
      </c>
      <c r="D1378" s="1">
        <v>3</v>
      </c>
      <c r="E1378" s="1">
        <v>3</v>
      </c>
      <c r="F1378" s="1">
        <v>3</v>
      </c>
      <c r="G1378" s="1">
        <v>0</v>
      </c>
      <c r="H1378" s="5">
        <v>1.1599999999999999</v>
      </c>
      <c r="I1378" s="2">
        <v>1.00561797752809</v>
      </c>
      <c r="J1378" s="3">
        <v>9869</v>
      </c>
      <c r="K1378">
        <v>2.6490765171503958</v>
      </c>
      <c r="L1378">
        <v>13.625329815303431</v>
      </c>
      <c r="M1378">
        <v>10.8</v>
      </c>
    </row>
    <row r="1379" spans="1:15" x14ac:dyDescent="0.25">
      <c r="A1379" s="8" t="s">
        <v>289</v>
      </c>
      <c r="B1379" s="1" t="s">
        <v>236</v>
      </c>
      <c r="C1379" s="1">
        <v>2014</v>
      </c>
      <c r="D1379" s="1">
        <v>3</v>
      </c>
      <c r="E1379" s="1">
        <v>3</v>
      </c>
      <c r="F1379" s="1">
        <v>3</v>
      </c>
      <c r="G1379" s="1">
        <v>0</v>
      </c>
      <c r="H1379" s="5">
        <v>0.79</v>
      </c>
      <c r="I1379" s="5">
        <v>1.0331825037707392</v>
      </c>
      <c r="J1379" s="3">
        <v>1425</v>
      </c>
      <c r="K1379">
        <v>1.1636363636363636</v>
      </c>
      <c r="L1379">
        <v>1.7454545454545456</v>
      </c>
      <c r="M1379">
        <v>1.3</v>
      </c>
    </row>
    <row r="1380" spans="1:15" x14ac:dyDescent="0.25">
      <c r="A1380" s="8" t="s">
        <v>289</v>
      </c>
      <c r="B1380" s="1" t="s">
        <v>236</v>
      </c>
      <c r="C1380" s="1">
        <v>2015</v>
      </c>
      <c r="D1380" s="1">
        <v>3</v>
      </c>
      <c r="E1380" s="1">
        <v>3</v>
      </c>
      <c r="F1380" s="1">
        <v>3</v>
      </c>
      <c r="G1380" s="1">
        <v>0</v>
      </c>
      <c r="H1380" s="5">
        <v>0.71</v>
      </c>
      <c r="I1380" s="5">
        <v>1.0010780840905591</v>
      </c>
      <c r="J1380" s="3">
        <v>1423</v>
      </c>
      <c r="K1380">
        <v>1.1636363636363636</v>
      </c>
      <c r="L1380">
        <v>1.7454545454545456</v>
      </c>
      <c r="M1380">
        <v>1.3</v>
      </c>
    </row>
    <row r="1381" spans="1:15" x14ac:dyDescent="0.25">
      <c r="A1381" t="s">
        <v>289</v>
      </c>
      <c r="B1381" s="1" t="s">
        <v>236</v>
      </c>
      <c r="C1381" s="1">
        <v>2016</v>
      </c>
      <c r="D1381" s="1">
        <v>3</v>
      </c>
      <c r="E1381" s="1">
        <v>3</v>
      </c>
      <c r="F1381" s="1">
        <v>3</v>
      </c>
      <c r="G1381" s="1">
        <v>0</v>
      </c>
      <c r="H1381" s="2">
        <v>0.24</v>
      </c>
      <c r="I1381" s="2">
        <v>0.994140625</v>
      </c>
      <c r="J1381" s="6">
        <v>1375</v>
      </c>
      <c r="K1381" s="7">
        <v>1.1636363636363636</v>
      </c>
      <c r="L1381" s="7">
        <v>1.7454545454545456</v>
      </c>
      <c r="M1381">
        <v>1.3</v>
      </c>
      <c r="O1381" s="7"/>
    </row>
    <row r="1382" spans="1:15" x14ac:dyDescent="0.25">
      <c r="A1382" t="s">
        <v>289</v>
      </c>
      <c r="B1382" s="1" t="s">
        <v>236</v>
      </c>
      <c r="C1382" s="1">
        <v>2017</v>
      </c>
      <c r="D1382" s="1">
        <v>3</v>
      </c>
      <c r="E1382" s="1">
        <v>3</v>
      </c>
      <c r="F1382" s="1">
        <v>3</v>
      </c>
      <c r="G1382" s="1">
        <v>0</v>
      </c>
      <c r="H1382" s="5">
        <v>0.44</v>
      </c>
      <c r="I1382" s="2">
        <v>1.0221418234442836</v>
      </c>
      <c r="J1382" s="3">
        <v>1422</v>
      </c>
      <c r="K1382">
        <v>1.1636363636363636</v>
      </c>
      <c r="L1382">
        <v>1.7454545454545456</v>
      </c>
      <c r="M1382">
        <v>1.3</v>
      </c>
    </row>
    <row r="1383" spans="1:15" x14ac:dyDescent="0.25">
      <c r="A1383" s="8" t="s">
        <v>289</v>
      </c>
      <c r="B1383" s="1" t="s">
        <v>236</v>
      </c>
      <c r="C1383" s="1">
        <v>2018</v>
      </c>
      <c r="D1383" s="1">
        <v>3</v>
      </c>
      <c r="E1383" s="1">
        <v>3</v>
      </c>
      <c r="F1383" s="1">
        <v>3</v>
      </c>
      <c r="G1383" s="1">
        <v>0</v>
      </c>
      <c r="H1383" s="5">
        <v>0.28000000000000003</v>
      </c>
      <c r="I1383" s="2">
        <v>1.0830081056739718</v>
      </c>
      <c r="J1383" s="3">
        <v>1444</v>
      </c>
      <c r="K1383">
        <v>1.1636363636363636</v>
      </c>
      <c r="L1383">
        <v>1.7454545454545456</v>
      </c>
      <c r="M1383">
        <v>1.3</v>
      </c>
    </row>
    <row r="1384" spans="1:15" x14ac:dyDescent="0.25">
      <c r="A1384" s="8" t="s">
        <v>290</v>
      </c>
      <c r="B1384" s="1" t="s">
        <v>236</v>
      </c>
      <c r="C1384" s="1">
        <v>2014</v>
      </c>
      <c r="D1384" s="1">
        <v>4</v>
      </c>
      <c r="E1384" s="1">
        <v>4</v>
      </c>
      <c r="F1384" s="1">
        <v>4</v>
      </c>
      <c r="G1384" s="1">
        <v>0</v>
      </c>
      <c r="H1384" s="5">
        <v>0.74</v>
      </c>
      <c r="I1384" s="5">
        <v>0.98420712734104387</v>
      </c>
      <c r="J1384" s="3">
        <v>4418</v>
      </c>
      <c r="K1384">
        <v>3.0146869363566089</v>
      </c>
      <c r="L1384">
        <v>7.7557330584900805</v>
      </c>
      <c r="M1384">
        <v>40</v>
      </c>
    </row>
    <row r="1385" spans="1:15" x14ac:dyDescent="0.25">
      <c r="A1385" s="8" t="s">
        <v>290</v>
      </c>
      <c r="B1385" s="1" t="s">
        <v>236</v>
      </c>
      <c r="C1385" s="1">
        <v>2015</v>
      </c>
      <c r="D1385" s="1">
        <v>4</v>
      </c>
      <c r="E1385" s="1">
        <v>4</v>
      </c>
      <c r="F1385" s="1">
        <v>4</v>
      </c>
      <c r="G1385" s="1">
        <v>0</v>
      </c>
      <c r="H1385" s="5">
        <v>0.01</v>
      </c>
      <c r="I1385" s="5">
        <v>0.98886027765338114</v>
      </c>
      <c r="J1385" s="3">
        <v>4327</v>
      </c>
      <c r="K1385">
        <v>3.0146869363566089</v>
      </c>
      <c r="L1385">
        <v>7.7557330584900805</v>
      </c>
      <c r="M1385">
        <v>39.200000000000003</v>
      </c>
    </row>
    <row r="1386" spans="1:15" x14ac:dyDescent="0.25">
      <c r="A1386" t="s">
        <v>290</v>
      </c>
      <c r="B1386" s="1" t="s">
        <v>236</v>
      </c>
      <c r="C1386" s="1">
        <v>2016</v>
      </c>
      <c r="D1386" s="1">
        <v>4</v>
      </c>
      <c r="E1386" s="1">
        <v>4</v>
      </c>
      <c r="F1386" s="1">
        <v>4</v>
      </c>
      <c r="G1386" s="1">
        <v>0</v>
      </c>
      <c r="H1386" s="5">
        <v>0.13</v>
      </c>
      <c r="I1386" s="2">
        <v>0.96710272120108187</v>
      </c>
      <c r="J1386" s="6">
        <v>3881</v>
      </c>
      <c r="K1386" s="7">
        <v>3.0146869363566089</v>
      </c>
      <c r="L1386" s="7">
        <v>7.7557330584900805</v>
      </c>
      <c r="M1386">
        <v>36.700000000000003</v>
      </c>
      <c r="O1386" s="7"/>
    </row>
    <row r="1387" spans="1:15" x14ac:dyDescent="0.25">
      <c r="A1387" t="s">
        <v>290</v>
      </c>
      <c r="B1387" s="1" t="s">
        <v>236</v>
      </c>
      <c r="C1387" s="1">
        <v>2017</v>
      </c>
      <c r="D1387" s="1">
        <v>4</v>
      </c>
      <c r="E1387" s="1">
        <v>4</v>
      </c>
      <c r="F1387" s="1">
        <v>4</v>
      </c>
      <c r="G1387" s="1">
        <v>0</v>
      </c>
      <c r="H1387" s="5">
        <v>0.04</v>
      </c>
      <c r="I1387" s="2">
        <v>1.0848404734723307</v>
      </c>
      <c r="J1387" s="3">
        <v>4010</v>
      </c>
      <c r="K1387">
        <v>3.0146869363566089</v>
      </c>
      <c r="L1387">
        <v>7.7557330584900805</v>
      </c>
      <c r="M1387">
        <v>36.299999999999997</v>
      </c>
    </row>
    <row r="1388" spans="1:15" x14ac:dyDescent="0.25">
      <c r="A1388" s="8" t="s">
        <v>290</v>
      </c>
      <c r="B1388" s="1" t="s">
        <v>236</v>
      </c>
      <c r="C1388" s="1">
        <v>2018</v>
      </c>
      <c r="D1388" s="1">
        <v>4</v>
      </c>
      <c r="E1388" s="1">
        <v>4</v>
      </c>
      <c r="F1388" s="1">
        <v>4</v>
      </c>
      <c r="G1388" s="1">
        <v>0</v>
      </c>
      <c r="H1388" s="5">
        <v>1.27</v>
      </c>
      <c r="I1388" s="2">
        <v>1.1390050558641782</v>
      </c>
      <c r="J1388" s="3">
        <v>4014</v>
      </c>
      <c r="K1388">
        <v>3.0146869363566089</v>
      </c>
      <c r="L1388">
        <v>7.7557330584900805</v>
      </c>
      <c r="M1388">
        <v>36.299999999999997</v>
      </c>
    </row>
    <row r="1389" spans="1:15" x14ac:dyDescent="0.25">
      <c r="A1389" s="8" t="s">
        <v>291</v>
      </c>
      <c r="B1389" s="1" t="s">
        <v>236</v>
      </c>
      <c r="C1389" s="1">
        <v>2014</v>
      </c>
      <c r="D1389" s="1">
        <v>1</v>
      </c>
      <c r="E1389" s="1">
        <v>1</v>
      </c>
      <c r="F1389" s="1">
        <v>1</v>
      </c>
      <c r="G1389" s="1">
        <v>0</v>
      </c>
      <c r="H1389" s="5">
        <v>0.42</v>
      </c>
      <c r="I1389" s="5">
        <v>1.005321512043422</v>
      </c>
      <c r="J1389" s="3">
        <v>137257</v>
      </c>
      <c r="K1389">
        <v>1.9901290757423122</v>
      </c>
      <c r="L1389">
        <v>28.055311963241316</v>
      </c>
      <c r="M1389">
        <v>858.7</v>
      </c>
    </row>
    <row r="1390" spans="1:15" x14ac:dyDescent="0.25">
      <c r="A1390" s="8" t="s">
        <v>291</v>
      </c>
      <c r="B1390" s="1" t="s">
        <v>236</v>
      </c>
      <c r="C1390" s="1">
        <v>2015</v>
      </c>
      <c r="D1390" s="1">
        <v>1</v>
      </c>
      <c r="E1390" s="1">
        <v>1</v>
      </c>
      <c r="F1390" s="1">
        <v>1</v>
      </c>
      <c r="G1390" s="1">
        <v>0</v>
      </c>
      <c r="H1390" s="5">
        <v>0.49</v>
      </c>
      <c r="I1390" s="5">
        <v>1.0800003795534554</v>
      </c>
      <c r="J1390" s="3">
        <v>138695</v>
      </c>
      <c r="K1390">
        <v>1.9901290757423122</v>
      </c>
      <c r="L1390">
        <v>28.055311963241316</v>
      </c>
      <c r="M1390">
        <v>867.7</v>
      </c>
    </row>
    <row r="1391" spans="1:15" x14ac:dyDescent="0.25">
      <c r="A1391" t="s">
        <v>291</v>
      </c>
      <c r="B1391" s="1" t="s">
        <v>236</v>
      </c>
      <c r="C1391" s="1">
        <v>2016</v>
      </c>
      <c r="D1391" s="1">
        <v>1</v>
      </c>
      <c r="E1391" s="1">
        <v>1</v>
      </c>
      <c r="F1391" s="1">
        <v>1</v>
      </c>
      <c r="G1391" s="1">
        <v>0</v>
      </c>
      <c r="H1391" s="2">
        <v>0.72</v>
      </c>
      <c r="I1391" s="2">
        <v>1.0517728747320294</v>
      </c>
      <c r="J1391" s="6">
        <v>137981</v>
      </c>
      <c r="K1391" s="7">
        <v>1.9901290757423122</v>
      </c>
      <c r="L1391" s="7">
        <v>28.055311963241316</v>
      </c>
      <c r="M1391">
        <v>878</v>
      </c>
      <c r="O1391" s="7"/>
    </row>
    <row r="1392" spans="1:15" x14ac:dyDescent="0.25">
      <c r="A1392" t="s">
        <v>291</v>
      </c>
      <c r="B1392" s="1" t="s">
        <v>236</v>
      </c>
      <c r="C1392" s="1">
        <v>2017</v>
      </c>
      <c r="D1392" s="1">
        <v>1</v>
      </c>
      <c r="E1392" s="1">
        <v>1</v>
      </c>
      <c r="F1392" s="1">
        <v>1</v>
      </c>
      <c r="G1392" s="1">
        <v>0</v>
      </c>
      <c r="H1392" s="5">
        <v>1.33</v>
      </c>
      <c r="I1392" s="2">
        <v>1.0987910790603179</v>
      </c>
      <c r="J1392" s="3">
        <v>141505</v>
      </c>
      <c r="K1392">
        <v>1.9901290757423122</v>
      </c>
      <c r="L1392">
        <v>28.055311963241316</v>
      </c>
      <c r="M1392">
        <v>885.3</v>
      </c>
    </row>
    <row r="1393" spans="1:15" x14ac:dyDescent="0.25">
      <c r="A1393" s="8" t="s">
        <v>291</v>
      </c>
      <c r="B1393" s="1" t="s">
        <v>236</v>
      </c>
      <c r="C1393" s="1">
        <v>2018</v>
      </c>
      <c r="D1393" s="1">
        <v>1</v>
      </c>
      <c r="E1393" s="1">
        <v>1</v>
      </c>
      <c r="F1393" s="1">
        <v>1</v>
      </c>
      <c r="G1393" s="1">
        <v>0</v>
      </c>
      <c r="H1393" s="5">
        <v>1.1100000000000001</v>
      </c>
      <c r="I1393" s="2">
        <v>1.140434433424852</v>
      </c>
      <c r="J1393" s="3">
        <v>142555</v>
      </c>
      <c r="K1393">
        <v>1.9901290757423122</v>
      </c>
      <c r="L1393">
        <v>28.055311963241316</v>
      </c>
      <c r="M1393">
        <v>891.8</v>
      </c>
    </row>
    <row r="1394" spans="1:15" x14ac:dyDescent="0.25">
      <c r="A1394" s="8" t="s">
        <v>292</v>
      </c>
      <c r="B1394" s="1" t="s">
        <v>236</v>
      </c>
      <c r="C1394" s="1">
        <v>2014</v>
      </c>
      <c r="D1394" s="1">
        <v>3</v>
      </c>
      <c r="E1394" s="1">
        <v>4</v>
      </c>
      <c r="F1394" s="1">
        <v>3.5</v>
      </c>
      <c r="G1394" s="1">
        <v>1</v>
      </c>
      <c r="H1394" s="5">
        <v>0.62</v>
      </c>
      <c r="I1394" s="5">
        <v>0.83498397902708998</v>
      </c>
      <c r="J1394" s="3">
        <v>2073</v>
      </c>
      <c r="K1394">
        <v>2.1203155818540433</v>
      </c>
      <c r="L1394">
        <v>4.2899408284023668</v>
      </c>
      <c r="M1394">
        <v>0.4</v>
      </c>
    </row>
    <row r="1395" spans="1:15" x14ac:dyDescent="0.25">
      <c r="A1395" s="8" t="s">
        <v>292</v>
      </c>
      <c r="B1395" s="1" t="s">
        <v>236</v>
      </c>
      <c r="C1395" s="1">
        <v>2015</v>
      </c>
      <c r="D1395" s="1">
        <v>3</v>
      </c>
      <c r="E1395" s="1">
        <v>4</v>
      </c>
      <c r="F1395" s="1">
        <v>3.5</v>
      </c>
      <c r="G1395" s="1">
        <v>1</v>
      </c>
      <c r="I1395" s="5">
        <v>0.87388585872023417</v>
      </c>
      <c r="J1395" s="3">
        <v>2058</v>
      </c>
      <c r="K1395">
        <v>2.1203155818540433</v>
      </c>
      <c r="L1395">
        <v>4.2899408284023668</v>
      </c>
      <c r="M1395">
        <v>0.4</v>
      </c>
    </row>
    <row r="1396" spans="1:15" x14ac:dyDescent="0.25">
      <c r="A1396" t="s">
        <v>292</v>
      </c>
      <c r="B1396" s="1" t="s">
        <v>236</v>
      </c>
      <c r="C1396" s="1">
        <v>2016</v>
      </c>
      <c r="D1396" s="1">
        <v>3</v>
      </c>
      <c r="E1396" s="1">
        <v>4</v>
      </c>
      <c r="F1396" s="1">
        <v>3.5</v>
      </c>
      <c r="G1396" s="1">
        <v>1</v>
      </c>
      <c r="H1396" s="2">
        <v>1.33</v>
      </c>
      <c r="I1396" s="2">
        <v>0.96193222782984855</v>
      </c>
      <c r="J1396" s="6">
        <v>2028</v>
      </c>
      <c r="K1396" s="7">
        <v>2.1203155818540433</v>
      </c>
      <c r="L1396" s="7">
        <v>4.2899408284023668</v>
      </c>
      <c r="M1396">
        <v>0.4</v>
      </c>
      <c r="O1396" s="7"/>
    </row>
    <row r="1397" spans="1:15" x14ac:dyDescent="0.25">
      <c r="A1397" t="s">
        <v>292</v>
      </c>
      <c r="B1397" s="1" t="s">
        <v>236</v>
      </c>
      <c r="C1397" s="1">
        <v>2017</v>
      </c>
      <c r="D1397" s="1">
        <v>3</v>
      </c>
      <c r="E1397" s="1">
        <v>4</v>
      </c>
      <c r="F1397" s="1">
        <v>3.5</v>
      </c>
      <c r="G1397" s="1">
        <v>1</v>
      </c>
      <c r="H1397" s="5">
        <v>1.1599999999999999</v>
      </c>
      <c r="I1397" s="2">
        <v>1.2433823529411765</v>
      </c>
      <c r="J1397" s="3">
        <v>2070</v>
      </c>
      <c r="K1397">
        <v>2.1203155818540433</v>
      </c>
      <c r="L1397">
        <v>4.2899408284023668</v>
      </c>
      <c r="M1397">
        <v>0.4</v>
      </c>
    </row>
    <row r="1398" spans="1:15" x14ac:dyDescent="0.25">
      <c r="A1398" s="8" t="s">
        <v>292</v>
      </c>
      <c r="B1398" s="1" t="s">
        <v>236</v>
      </c>
      <c r="C1398" s="1">
        <v>2018</v>
      </c>
      <c r="D1398" s="1">
        <v>3</v>
      </c>
      <c r="E1398" s="1">
        <v>4</v>
      </c>
      <c r="F1398" s="1">
        <v>3.5</v>
      </c>
      <c r="G1398" s="1">
        <v>1</v>
      </c>
      <c r="H1398" s="5">
        <v>0.32</v>
      </c>
      <c r="I1398" s="2">
        <v>1.0905080404155401</v>
      </c>
      <c r="J1398" s="3">
        <v>2094</v>
      </c>
      <c r="K1398">
        <v>2.1203155818540433</v>
      </c>
      <c r="L1398">
        <v>4.2899408284023668</v>
      </c>
      <c r="M1398">
        <v>0.4</v>
      </c>
    </row>
    <row r="1399" spans="1:15" x14ac:dyDescent="0.25">
      <c r="A1399" s="8" t="s">
        <v>293</v>
      </c>
      <c r="B1399" s="1" t="s">
        <v>236</v>
      </c>
      <c r="C1399" s="1">
        <v>2014</v>
      </c>
      <c r="D1399" s="1">
        <v>5</v>
      </c>
      <c r="E1399" s="1">
        <v>5</v>
      </c>
      <c r="F1399" s="1">
        <v>5</v>
      </c>
      <c r="G1399" s="1">
        <v>0</v>
      </c>
      <c r="I1399" s="5">
        <v>0.90474887094566858</v>
      </c>
      <c r="J1399" s="3">
        <v>2180</v>
      </c>
      <c r="K1399">
        <v>1.1078998073217727</v>
      </c>
      <c r="L1399">
        <v>1.6377649325626205</v>
      </c>
      <c r="M1399">
        <v>0.4</v>
      </c>
    </row>
    <row r="1400" spans="1:15" x14ac:dyDescent="0.25">
      <c r="A1400" s="8" t="s">
        <v>293</v>
      </c>
      <c r="B1400" s="1" t="s">
        <v>236</v>
      </c>
      <c r="C1400" s="1">
        <v>2015</v>
      </c>
      <c r="D1400" s="1">
        <v>5</v>
      </c>
      <c r="E1400" s="1">
        <v>5</v>
      </c>
      <c r="F1400" s="1">
        <v>5</v>
      </c>
      <c r="G1400" s="1">
        <v>0</v>
      </c>
      <c r="H1400" s="5">
        <v>0.32</v>
      </c>
      <c r="I1400" s="5">
        <v>1.1354805059329769</v>
      </c>
      <c r="J1400" s="3">
        <v>2164</v>
      </c>
      <c r="K1400">
        <v>1.1078998073217727</v>
      </c>
      <c r="L1400">
        <v>1.6377649325626205</v>
      </c>
      <c r="M1400">
        <v>0.3</v>
      </c>
    </row>
    <row r="1401" spans="1:15" x14ac:dyDescent="0.25">
      <c r="A1401" t="s">
        <v>293</v>
      </c>
      <c r="B1401" s="1" t="s">
        <v>236</v>
      </c>
      <c r="C1401" s="1">
        <v>2016</v>
      </c>
      <c r="D1401" s="1">
        <v>5</v>
      </c>
      <c r="E1401" s="1">
        <v>5</v>
      </c>
      <c r="F1401" s="1">
        <v>5</v>
      </c>
      <c r="G1401" s="1">
        <v>0</v>
      </c>
      <c r="H1401" s="2">
        <v>0.64</v>
      </c>
      <c r="I1401" s="2">
        <v>0.98586118251928023</v>
      </c>
      <c r="J1401" s="6">
        <v>2076</v>
      </c>
      <c r="K1401" s="7">
        <v>1.1078998073217727</v>
      </c>
      <c r="L1401" s="7">
        <v>1.6377649325626205</v>
      </c>
      <c r="M1401">
        <v>0.3</v>
      </c>
      <c r="O1401" s="7"/>
    </row>
    <row r="1402" spans="1:15" x14ac:dyDescent="0.25">
      <c r="A1402" t="s">
        <v>293</v>
      </c>
      <c r="B1402" s="1" t="s">
        <v>236</v>
      </c>
      <c r="C1402" s="1">
        <v>2017</v>
      </c>
      <c r="D1402" s="1">
        <v>5</v>
      </c>
      <c r="E1402" s="1">
        <v>5</v>
      </c>
      <c r="F1402" s="1">
        <v>5</v>
      </c>
      <c r="G1402" s="1">
        <v>0</v>
      </c>
      <c r="H1402" s="5">
        <v>0.46</v>
      </c>
      <c r="I1402" s="2">
        <v>1.0904317386231039</v>
      </c>
      <c r="J1402" s="3">
        <v>2181</v>
      </c>
      <c r="K1402">
        <v>1.1078998073217727</v>
      </c>
      <c r="L1402">
        <v>1.6377649325626205</v>
      </c>
      <c r="M1402">
        <v>0.4</v>
      </c>
    </row>
    <row r="1403" spans="1:15" x14ac:dyDescent="0.25">
      <c r="A1403" s="8" t="s">
        <v>293</v>
      </c>
      <c r="B1403" s="1" t="s">
        <v>236</v>
      </c>
      <c r="C1403" s="1">
        <v>2018</v>
      </c>
      <c r="D1403" s="1">
        <v>5</v>
      </c>
      <c r="E1403" s="1">
        <v>5</v>
      </c>
      <c r="F1403" s="1">
        <v>5</v>
      </c>
      <c r="G1403" s="1">
        <v>0</v>
      </c>
      <c r="H1403" s="5">
        <v>0.88</v>
      </c>
      <c r="I1403" s="2">
        <v>1.022292301000435</v>
      </c>
      <c r="J1403" s="3">
        <v>2214</v>
      </c>
      <c r="K1403">
        <v>1.1078998073217727</v>
      </c>
      <c r="L1403">
        <v>1.6377649325626205</v>
      </c>
      <c r="M1403">
        <v>0.4</v>
      </c>
    </row>
    <row r="1404" spans="1:15" x14ac:dyDescent="0.25">
      <c r="A1404" s="8" t="s">
        <v>294</v>
      </c>
      <c r="B1404" s="1" t="s">
        <v>236</v>
      </c>
      <c r="C1404" s="1">
        <v>2014</v>
      </c>
      <c r="D1404" s="1">
        <v>3</v>
      </c>
      <c r="E1404" s="1">
        <v>4</v>
      </c>
      <c r="F1404" s="1">
        <v>3.5</v>
      </c>
      <c r="G1404" s="1">
        <v>1</v>
      </c>
      <c r="H1404" s="5">
        <v>0.66</v>
      </c>
      <c r="I1404" s="5">
        <v>0.93610976370313903</v>
      </c>
      <c r="J1404" s="3">
        <v>6811</v>
      </c>
      <c r="K1404">
        <v>1.3141993957703928</v>
      </c>
      <c r="L1404">
        <v>6.1933534743202419</v>
      </c>
      <c r="M1404">
        <v>1</v>
      </c>
    </row>
    <row r="1405" spans="1:15" x14ac:dyDescent="0.25">
      <c r="A1405" s="8" t="s">
        <v>294</v>
      </c>
      <c r="B1405" s="1" t="s">
        <v>236</v>
      </c>
      <c r="C1405" s="1">
        <v>2015</v>
      </c>
      <c r="D1405" s="1">
        <v>3</v>
      </c>
      <c r="E1405" s="1">
        <v>4</v>
      </c>
      <c r="F1405" s="1">
        <v>3.5</v>
      </c>
      <c r="G1405" s="1">
        <v>1</v>
      </c>
      <c r="H1405" s="5">
        <v>0.66</v>
      </c>
      <c r="I1405" s="5">
        <v>1.1724444444444444</v>
      </c>
      <c r="J1405" s="3">
        <v>6821</v>
      </c>
      <c r="K1405">
        <v>1.3141993957703928</v>
      </c>
      <c r="L1405">
        <v>6.1933534743202419</v>
      </c>
      <c r="M1405">
        <v>1</v>
      </c>
    </row>
    <row r="1406" spans="1:15" x14ac:dyDescent="0.25">
      <c r="A1406" t="s">
        <v>294</v>
      </c>
      <c r="B1406" s="1" t="s">
        <v>236</v>
      </c>
      <c r="C1406" s="1">
        <v>2016</v>
      </c>
      <c r="D1406" s="1">
        <v>3</v>
      </c>
      <c r="E1406" s="1">
        <v>4</v>
      </c>
      <c r="F1406" s="1">
        <v>3.5</v>
      </c>
      <c r="G1406" s="1">
        <v>1</v>
      </c>
      <c r="H1406" s="2">
        <v>1.1200000000000001</v>
      </c>
      <c r="I1406" s="2">
        <v>0.93047572882764351</v>
      </c>
      <c r="J1406" s="6">
        <v>6620</v>
      </c>
      <c r="K1406" s="7">
        <v>1.3141993957703928</v>
      </c>
      <c r="L1406" s="7">
        <v>6.1933534743202419</v>
      </c>
      <c r="M1406">
        <v>1</v>
      </c>
      <c r="O1406" s="7"/>
    </row>
    <row r="1407" spans="1:15" x14ac:dyDescent="0.25">
      <c r="A1407" t="s">
        <v>294</v>
      </c>
      <c r="B1407" s="1" t="s">
        <v>236</v>
      </c>
      <c r="C1407" s="1">
        <v>2017</v>
      </c>
      <c r="D1407" s="1">
        <v>3</v>
      </c>
      <c r="E1407" s="1">
        <v>4</v>
      </c>
      <c r="F1407" s="1">
        <v>3.5</v>
      </c>
      <c r="G1407" s="1">
        <v>1</v>
      </c>
      <c r="H1407" s="5">
        <v>1.05</v>
      </c>
      <c r="I1407" s="2">
        <v>1.1399289972536675</v>
      </c>
      <c r="J1407" s="3">
        <v>6772</v>
      </c>
      <c r="K1407">
        <v>1.3141993957703928</v>
      </c>
      <c r="L1407">
        <v>6.1933534743202419</v>
      </c>
      <c r="M1407">
        <v>1</v>
      </c>
    </row>
    <row r="1408" spans="1:15" x14ac:dyDescent="0.25">
      <c r="A1408" s="8" t="s">
        <v>294</v>
      </c>
      <c r="B1408" s="1" t="s">
        <v>236</v>
      </c>
      <c r="C1408" s="1">
        <v>2018</v>
      </c>
      <c r="D1408" s="1">
        <v>3</v>
      </c>
      <c r="E1408" s="1">
        <v>4</v>
      </c>
      <c r="F1408" s="1">
        <v>3.5</v>
      </c>
      <c r="G1408" s="1">
        <v>1</v>
      </c>
      <c r="H1408" s="5">
        <v>0.72</v>
      </c>
      <c r="I1408" s="2">
        <v>1.042526455026455</v>
      </c>
      <c r="J1408" s="3">
        <v>6794</v>
      </c>
      <c r="K1408">
        <v>1.3141993957703928</v>
      </c>
      <c r="L1408">
        <v>6.1933534743202419</v>
      </c>
      <c r="M1408">
        <v>1</v>
      </c>
    </row>
    <row r="1409" spans="1:15" x14ac:dyDescent="0.25">
      <c r="A1409" s="8" t="s">
        <v>295</v>
      </c>
      <c r="B1409" s="1" t="s">
        <v>236</v>
      </c>
      <c r="C1409" s="1">
        <v>2014</v>
      </c>
      <c r="D1409" s="1">
        <v>1</v>
      </c>
      <c r="E1409" s="1">
        <v>1</v>
      </c>
      <c r="F1409" s="1">
        <v>1</v>
      </c>
      <c r="G1409" s="1">
        <v>0</v>
      </c>
      <c r="H1409" s="5">
        <v>1</v>
      </c>
      <c r="I1409" s="5">
        <v>1.0563467410761294</v>
      </c>
      <c r="J1409" s="3">
        <v>98726</v>
      </c>
      <c r="K1409">
        <v>0.98120466148950758</v>
      </c>
      <c r="L1409">
        <v>12.658460971791646</v>
      </c>
      <c r="M1409">
        <v>1036.9000000000001</v>
      </c>
    </row>
    <row r="1410" spans="1:15" x14ac:dyDescent="0.25">
      <c r="A1410" s="8" t="s">
        <v>295</v>
      </c>
      <c r="B1410" s="1" t="s">
        <v>236</v>
      </c>
      <c r="C1410" s="1">
        <v>2015</v>
      </c>
      <c r="D1410" s="1">
        <v>1</v>
      </c>
      <c r="E1410" s="1">
        <v>1</v>
      </c>
      <c r="F1410" s="1">
        <v>1</v>
      </c>
      <c r="G1410" s="1">
        <v>0</v>
      </c>
      <c r="H1410" s="5">
        <v>0.77</v>
      </c>
      <c r="I1410" s="5">
        <v>1.0831144560056571</v>
      </c>
      <c r="J1410" s="3">
        <v>98983</v>
      </c>
      <c r="K1410">
        <v>0.98120466148950758</v>
      </c>
      <c r="L1410">
        <v>12.658460971791646</v>
      </c>
      <c r="M1410">
        <v>1039.5999999999999</v>
      </c>
    </row>
    <row r="1411" spans="1:15" x14ac:dyDescent="0.25">
      <c r="A1411" t="s">
        <v>295</v>
      </c>
      <c r="B1411" s="1" t="s">
        <v>236</v>
      </c>
      <c r="C1411" s="1">
        <v>2016</v>
      </c>
      <c r="D1411" s="1">
        <v>1</v>
      </c>
      <c r="E1411" s="1">
        <v>1</v>
      </c>
      <c r="F1411" s="1">
        <v>1</v>
      </c>
      <c r="G1411" s="1">
        <v>0</v>
      </c>
      <c r="H1411" s="2">
        <v>1.06</v>
      </c>
      <c r="I1411" s="2">
        <v>1.0687984254714866</v>
      </c>
      <c r="J1411" s="6">
        <v>97737</v>
      </c>
      <c r="K1411" s="7">
        <v>0.98120466148950758</v>
      </c>
      <c r="L1411" s="7">
        <v>12.658460971791646</v>
      </c>
      <c r="M1411">
        <v>1041.4000000000001</v>
      </c>
      <c r="O1411" s="7"/>
    </row>
    <row r="1412" spans="1:15" x14ac:dyDescent="0.25">
      <c r="A1412" t="s">
        <v>295</v>
      </c>
      <c r="B1412" s="1" t="s">
        <v>236</v>
      </c>
      <c r="C1412" s="1">
        <v>2017</v>
      </c>
      <c r="D1412" s="1">
        <v>1</v>
      </c>
      <c r="E1412" s="1">
        <v>1</v>
      </c>
      <c r="F1412" s="1">
        <v>1</v>
      </c>
      <c r="G1412" s="1">
        <v>0</v>
      </c>
      <c r="H1412" s="5">
        <v>1.0269999999999999</v>
      </c>
      <c r="I1412" s="2">
        <v>1.0926944320766296</v>
      </c>
      <c r="J1412" s="3">
        <v>99410</v>
      </c>
      <c r="K1412">
        <v>0.98120466148950758</v>
      </c>
      <c r="L1412">
        <v>12.658460971791646</v>
      </c>
      <c r="M1412">
        <v>1044.0999999999999</v>
      </c>
    </row>
    <row r="1413" spans="1:15" x14ac:dyDescent="0.25">
      <c r="A1413" s="8" t="s">
        <v>295</v>
      </c>
      <c r="B1413" s="1" t="s">
        <v>236</v>
      </c>
      <c r="C1413" s="1">
        <v>2018</v>
      </c>
      <c r="D1413" s="1">
        <v>1</v>
      </c>
      <c r="E1413" s="1">
        <v>1</v>
      </c>
      <c r="F1413" s="1">
        <v>1</v>
      </c>
      <c r="G1413" s="1">
        <v>0</v>
      </c>
      <c r="H1413" s="5">
        <v>0.88500000000000001</v>
      </c>
      <c r="I1413" s="2">
        <v>1.0927176556707361</v>
      </c>
      <c r="J1413" s="3">
        <v>99694</v>
      </c>
      <c r="K1413">
        <v>0.98120466148950758</v>
      </c>
      <c r="L1413">
        <v>12.658460971791646</v>
      </c>
      <c r="M1413">
        <v>1047.0999999999999</v>
      </c>
    </row>
    <row r="1414" spans="1:15" x14ac:dyDescent="0.25">
      <c r="A1414" s="8" t="s">
        <v>296</v>
      </c>
      <c r="B1414" s="1" t="s">
        <v>236</v>
      </c>
      <c r="C1414" s="1">
        <v>2014</v>
      </c>
      <c r="D1414" s="1">
        <v>4</v>
      </c>
      <c r="E1414" s="1">
        <v>4</v>
      </c>
      <c r="F1414" s="1">
        <v>4</v>
      </c>
      <c r="G1414" s="1">
        <v>0</v>
      </c>
      <c r="H1414" s="5">
        <v>1.07</v>
      </c>
      <c r="I1414" s="5">
        <v>0.83592156862745104</v>
      </c>
      <c r="J1414" s="3">
        <v>2651</v>
      </c>
      <c r="K1414">
        <v>1.9555214723926382</v>
      </c>
      <c r="L1414">
        <v>0.69018404907975461</v>
      </c>
      <c r="M1414">
        <v>1</v>
      </c>
    </row>
    <row r="1415" spans="1:15" x14ac:dyDescent="0.25">
      <c r="A1415" s="8" t="s">
        <v>296</v>
      </c>
      <c r="B1415" s="1" t="s">
        <v>236</v>
      </c>
      <c r="C1415" s="1">
        <v>2015</v>
      </c>
      <c r="D1415" s="1">
        <v>4</v>
      </c>
      <c r="E1415" s="1">
        <v>4</v>
      </c>
      <c r="F1415" s="1">
        <v>4</v>
      </c>
      <c r="G1415" s="1">
        <v>0</v>
      </c>
      <c r="H1415" s="5">
        <v>0.92</v>
      </c>
      <c r="I1415" s="5">
        <v>0.9878817256422685</v>
      </c>
      <c r="J1415" s="3">
        <v>2670</v>
      </c>
      <c r="K1415">
        <v>1.9555214723926382</v>
      </c>
      <c r="L1415">
        <v>0.69018404907975461</v>
      </c>
      <c r="M1415">
        <v>1</v>
      </c>
    </row>
    <row r="1416" spans="1:15" x14ac:dyDescent="0.25">
      <c r="A1416" t="s">
        <v>296</v>
      </c>
      <c r="B1416" s="1" t="s">
        <v>236</v>
      </c>
      <c r="C1416" s="1">
        <v>2016</v>
      </c>
      <c r="D1416" s="1">
        <v>4</v>
      </c>
      <c r="E1416" s="1">
        <v>4</v>
      </c>
      <c r="F1416" s="1">
        <v>4</v>
      </c>
      <c r="G1416" s="1">
        <v>0</v>
      </c>
      <c r="H1416" s="2">
        <v>1.1499999999999999</v>
      </c>
      <c r="I1416" s="2">
        <v>0.89980817470857311</v>
      </c>
      <c r="J1416" s="6">
        <v>2608</v>
      </c>
      <c r="K1416" s="7">
        <v>1.9555214723926382</v>
      </c>
      <c r="L1416" s="7">
        <v>0.69018404907975461</v>
      </c>
      <c r="M1416">
        <v>1</v>
      </c>
      <c r="O1416" s="7"/>
    </row>
    <row r="1417" spans="1:15" x14ac:dyDescent="0.25">
      <c r="A1417" t="s">
        <v>296</v>
      </c>
      <c r="B1417" s="1" t="s">
        <v>236</v>
      </c>
      <c r="C1417" s="1">
        <v>2017</v>
      </c>
      <c r="D1417" s="1">
        <v>4</v>
      </c>
      <c r="E1417" s="1">
        <v>4</v>
      </c>
      <c r="F1417" s="1">
        <v>4</v>
      </c>
      <c r="G1417" s="1">
        <v>0</v>
      </c>
      <c r="H1417" s="5">
        <v>0.59</v>
      </c>
      <c r="I1417" s="2">
        <v>1.0486739469578783</v>
      </c>
      <c r="J1417" s="3">
        <v>2688</v>
      </c>
      <c r="K1417">
        <v>1.9555214723926382</v>
      </c>
      <c r="L1417">
        <v>0.69018404907975461</v>
      </c>
      <c r="M1417">
        <v>1</v>
      </c>
    </row>
    <row r="1418" spans="1:15" x14ac:dyDescent="0.25">
      <c r="A1418" s="8" t="s">
        <v>296</v>
      </c>
      <c r="B1418" s="1" t="s">
        <v>236</v>
      </c>
      <c r="C1418" s="1">
        <v>2018</v>
      </c>
      <c r="D1418" s="1">
        <v>4</v>
      </c>
      <c r="E1418" s="1">
        <v>4</v>
      </c>
      <c r="F1418" s="1">
        <v>4</v>
      </c>
      <c r="G1418" s="1">
        <v>0</v>
      </c>
      <c r="H1418" s="5">
        <v>1.33</v>
      </c>
      <c r="I1418" s="2">
        <v>1.0701803439116455</v>
      </c>
      <c r="J1418" s="3">
        <v>2688</v>
      </c>
      <c r="K1418">
        <v>1.9555214723926382</v>
      </c>
      <c r="L1418">
        <v>0.69018404907975461</v>
      </c>
      <c r="M1418">
        <v>1</v>
      </c>
    </row>
    <row r="1419" spans="1:15" x14ac:dyDescent="0.25">
      <c r="A1419" s="8" t="s">
        <v>297</v>
      </c>
      <c r="B1419" s="1" t="s">
        <v>236</v>
      </c>
      <c r="C1419" s="1">
        <v>2014</v>
      </c>
      <c r="D1419" s="1">
        <v>1</v>
      </c>
      <c r="E1419" s="1">
        <v>1</v>
      </c>
      <c r="F1419" s="1">
        <v>1</v>
      </c>
      <c r="G1419" s="1">
        <v>0</v>
      </c>
      <c r="H1419" s="5">
        <v>1.1299999999999999</v>
      </c>
      <c r="I1419" s="5">
        <v>1.0374707259953162</v>
      </c>
      <c r="J1419" s="3">
        <v>38695</v>
      </c>
      <c r="K1419">
        <v>0.42951454251398574</v>
      </c>
      <c r="L1419">
        <v>19.349365007821405</v>
      </c>
      <c r="M1419">
        <v>2711.6</v>
      </c>
    </row>
    <row r="1420" spans="1:15" x14ac:dyDescent="0.25">
      <c r="A1420" s="8" t="s">
        <v>297</v>
      </c>
      <c r="B1420" s="1" t="s">
        <v>236</v>
      </c>
      <c r="C1420" s="1">
        <v>2015</v>
      </c>
      <c r="D1420" s="1">
        <v>1</v>
      </c>
      <c r="E1420" s="1">
        <v>1</v>
      </c>
      <c r="F1420" s="1">
        <v>1</v>
      </c>
      <c r="G1420" s="1">
        <v>0</v>
      </c>
      <c r="H1420" s="5">
        <v>0.85</v>
      </c>
      <c r="I1420" s="5">
        <v>1.0811345163416242</v>
      </c>
      <c r="J1420" s="3">
        <v>38823</v>
      </c>
      <c r="K1420">
        <v>0.42951454251398574</v>
      </c>
      <c r="L1420">
        <v>19.349365007821405</v>
      </c>
      <c r="M1420">
        <v>2720.5</v>
      </c>
    </row>
    <row r="1421" spans="1:15" x14ac:dyDescent="0.25">
      <c r="A1421" t="s">
        <v>297</v>
      </c>
      <c r="B1421" s="1" t="s">
        <v>236</v>
      </c>
      <c r="C1421" s="1">
        <v>2016</v>
      </c>
      <c r="D1421" s="1">
        <v>1</v>
      </c>
      <c r="E1421" s="1">
        <v>1</v>
      </c>
      <c r="F1421" s="1">
        <v>1</v>
      </c>
      <c r="G1421" s="1">
        <v>0</v>
      </c>
      <c r="H1421" s="2">
        <v>0.81</v>
      </c>
      <c r="I1421" s="2">
        <v>1.0646623321152295</v>
      </c>
      <c r="J1421" s="6">
        <v>37717</v>
      </c>
      <c r="K1421" s="7">
        <v>0.42951454251398574</v>
      </c>
      <c r="L1421" s="7">
        <v>19.349365007821405</v>
      </c>
      <c r="M1421">
        <v>2728.7</v>
      </c>
      <c r="O1421" s="7"/>
    </row>
    <row r="1422" spans="1:15" x14ac:dyDescent="0.25">
      <c r="A1422" t="s">
        <v>297</v>
      </c>
      <c r="B1422" s="1" t="s">
        <v>236</v>
      </c>
      <c r="C1422" s="1">
        <v>2017</v>
      </c>
      <c r="D1422" s="1">
        <v>1</v>
      </c>
      <c r="E1422" s="1">
        <v>1</v>
      </c>
      <c r="F1422" s="1">
        <v>1</v>
      </c>
      <c r="G1422" s="1">
        <v>0</v>
      </c>
      <c r="H1422" s="5">
        <v>1.1599999999999999</v>
      </c>
      <c r="I1422" s="2">
        <v>1.1063101255503016</v>
      </c>
      <c r="J1422" s="3">
        <v>39099</v>
      </c>
      <c r="K1422">
        <v>0.42951454251398574</v>
      </c>
      <c r="L1422">
        <v>19.349365007821405</v>
      </c>
      <c r="M1422">
        <v>2739.9</v>
      </c>
    </row>
    <row r="1423" spans="1:15" x14ac:dyDescent="0.25">
      <c r="A1423" s="8" t="s">
        <v>297</v>
      </c>
      <c r="B1423" s="1" t="s">
        <v>236</v>
      </c>
      <c r="C1423" s="1">
        <v>2018</v>
      </c>
      <c r="D1423" s="1">
        <v>1</v>
      </c>
      <c r="E1423" s="1">
        <v>1</v>
      </c>
      <c r="F1423" s="1">
        <v>1</v>
      </c>
      <c r="G1423" s="1">
        <v>0</v>
      </c>
      <c r="H1423" s="2">
        <f>6732/8011</f>
        <v>0.84034452627637002</v>
      </c>
      <c r="I1423" s="2">
        <v>1.0905120990433315</v>
      </c>
      <c r="J1423" s="3">
        <v>39145</v>
      </c>
      <c r="K1423">
        <v>0.42951454251398574</v>
      </c>
      <c r="L1423">
        <v>19.349365007821405</v>
      </c>
      <c r="M1423">
        <v>2743.1</v>
      </c>
    </row>
    <row r="1424" spans="1:15" x14ac:dyDescent="0.25">
      <c r="A1424" s="8" t="s">
        <v>298</v>
      </c>
      <c r="B1424" s="1" t="s">
        <v>236</v>
      </c>
      <c r="C1424" s="1">
        <v>2014</v>
      </c>
      <c r="D1424" s="1">
        <v>2</v>
      </c>
      <c r="E1424" s="1">
        <v>2</v>
      </c>
      <c r="F1424" s="1">
        <v>2</v>
      </c>
      <c r="G1424" s="1">
        <v>0</v>
      </c>
      <c r="H1424" s="5">
        <v>0.8</v>
      </c>
      <c r="I1424" s="5">
        <v>1.0406013642058374</v>
      </c>
      <c r="J1424" s="3">
        <v>14729</v>
      </c>
      <c r="K1424">
        <v>1.3368801582429575</v>
      </c>
      <c r="L1424">
        <v>3.1443966987245076</v>
      </c>
      <c r="M1424">
        <v>38.299999999999997</v>
      </c>
    </row>
    <row r="1425" spans="1:15" x14ac:dyDescent="0.25">
      <c r="A1425" s="8" t="s">
        <v>298</v>
      </c>
      <c r="B1425" s="1" t="s">
        <v>236</v>
      </c>
      <c r="C1425" s="1">
        <v>2015</v>
      </c>
      <c r="D1425" s="1">
        <v>2</v>
      </c>
      <c r="E1425" s="1">
        <v>2</v>
      </c>
      <c r="F1425" s="1">
        <v>2</v>
      </c>
      <c r="G1425" s="1">
        <v>0</v>
      </c>
      <c r="H1425" s="5">
        <v>0.57999999999999996</v>
      </c>
      <c r="I1425" s="5">
        <v>1.0717484772482981</v>
      </c>
      <c r="J1425" s="3">
        <v>14886</v>
      </c>
      <c r="K1425">
        <v>1.3368801582429575</v>
      </c>
      <c r="L1425">
        <v>3.1443966987245076</v>
      </c>
      <c r="M1425">
        <v>38.700000000000003</v>
      </c>
    </row>
    <row r="1426" spans="1:15" x14ac:dyDescent="0.25">
      <c r="A1426" t="s">
        <v>298</v>
      </c>
      <c r="B1426" s="1" t="s">
        <v>236</v>
      </c>
      <c r="C1426" s="1">
        <v>2016</v>
      </c>
      <c r="D1426" s="1">
        <v>2</v>
      </c>
      <c r="E1426" s="1">
        <v>2</v>
      </c>
      <c r="F1426" s="1">
        <v>2</v>
      </c>
      <c r="G1426" s="1">
        <v>0</v>
      </c>
      <c r="H1426" s="2">
        <v>0.77</v>
      </c>
      <c r="I1426" s="2">
        <v>1.0266354756628089</v>
      </c>
      <c r="J1426" s="6">
        <v>14661</v>
      </c>
      <c r="K1426" s="7">
        <v>1.3368801582429575</v>
      </c>
      <c r="L1426" s="7">
        <v>3.1443966987245076</v>
      </c>
      <c r="M1426">
        <v>39</v>
      </c>
      <c r="O1426" s="7"/>
    </row>
    <row r="1427" spans="1:15" x14ac:dyDescent="0.25">
      <c r="A1427" t="s">
        <v>298</v>
      </c>
      <c r="B1427" s="1" t="s">
        <v>236</v>
      </c>
      <c r="C1427" s="1">
        <v>2017</v>
      </c>
      <c r="D1427" s="1">
        <v>2</v>
      </c>
      <c r="E1427" s="1">
        <v>2</v>
      </c>
      <c r="F1427" s="1">
        <v>2</v>
      </c>
      <c r="G1427" s="1">
        <v>0</v>
      </c>
      <c r="H1427" s="5">
        <v>0.99</v>
      </c>
      <c r="I1427" s="2">
        <v>1.0391468895371758</v>
      </c>
      <c r="J1427" s="3">
        <v>15112</v>
      </c>
      <c r="K1427">
        <v>1.3368801582429575</v>
      </c>
      <c r="L1427">
        <v>3.1443966987245076</v>
      </c>
      <c r="M1427">
        <v>39.299999999999997</v>
      </c>
    </row>
    <row r="1428" spans="1:15" x14ac:dyDescent="0.25">
      <c r="A1428" s="8" t="s">
        <v>298</v>
      </c>
      <c r="B1428" s="1" t="s">
        <v>236</v>
      </c>
      <c r="C1428" s="1">
        <v>2018</v>
      </c>
      <c r="D1428" s="1">
        <v>2</v>
      </c>
      <c r="E1428" s="1">
        <v>2</v>
      </c>
      <c r="F1428" s="1">
        <v>2</v>
      </c>
      <c r="G1428" s="1">
        <v>0</v>
      </c>
      <c r="H1428" s="5">
        <v>0.88</v>
      </c>
      <c r="I1428" s="2">
        <v>1.0077230461845847</v>
      </c>
      <c r="J1428" s="3">
        <v>15248</v>
      </c>
      <c r="K1428">
        <v>1.3368801582429575</v>
      </c>
      <c r="L1428">
        <v>3.1443966987245076</v>
      </c>
      <c r="M1428">
        <v>39.6</v>
      </c>
    </row>
    <row r="1429" spans="1:15" x14ac:dyDescent="0.25">
      <c r="A1429" s="8" t="s">
        <v>299</v>
      </c>
      <c r="B1429" s="1" t="s">
        <v>236</v>
      </c>
      <c r="C1429" s="1">
        <v>2014</v>
      </c>
      <c r="D1429" s="1">
        <v>2</v>
      </c>
      <c r="E1429" s="1">
        <v>3</v>
      </c>
      <c r="F1429" s="1">
        <v>2.5</v>
      </c>
      <c r="G1429" s="1">
        <v>1</v>
      </c>
      <c r="H1429" s="5">
        <v>0.83</v>
      </c>
      <c r="I1429" s="5">
        <v>0.89424507528417541</v>
      </c>
      <c r="J1429" s="3">
        <v>6896</v>
      </c>
      <c r="K1429">
        <v>2.263374485596708</v>
      </c>
      <c r="L1429">
        <v>3.4979423868312756</v>
      </c>
      <c r="M1429">
        <v>2</v>
      </c>
    </row>
    <row r="1430" spans="1:15" x14ac:dyDescent="0.25">
      <c r="A1430" s="8" t="s">
        <v>299</v>
      </c>
      <c r="B1430" s="1" t="s">
        <v>236</v>
      </c>
      <c r="C1430" s="1">
        <v>2015</v>
      </c>
      <c r="D1430" s="1">
        <v>2</v>
      </c>
      <c r="E1430" s="1">
        <v>3</v>
      </c>
      <c r="F1430" s="1">
        <v>2.5</v>
      </c>
      <c r="G1430" s="1">
        <v>1</v>
      </c>
      <c r="H1430" s="5">
        <v>1.08</v>
      </c>
      <c r="I1430" s="5">
        <v>0.95556385362210605</v>
      </c>
      <c r="J1430" s="3">
        <v>6932</v>
      </c>
      <c r="K1430">
        <v>2.263374485596708</v>
      </c>
      <c r="L1430">
        <v>3.4979423868312756</v>
      </c>
      <c r="M1430">
        <v>2</v>
      </c>
    </row>
    <row r="1431" spans="1:15" x14ac:dyDescent="0.25">
      <c r="A1431" t="s">
        <v>299</v>
      </c>
      <c r="B1431" s="1" t="s">
        <v>236</v>
      </c>
      <c r="C1431" s="1">
        <v>2016</v>
      </c>
      <c r="D1431" s="1">
        <v>2</v>
      </c>
      <c r="E1431" s="1">
        <v>3</v>
      </c>
      <c r="F1431" s="1">
        <v>2.5</v>
      </c>
      <c r="G1431" s="1">
        <v>1</v>
      </c>
      <c r="H1431" s="5">
        <v>0.97</v>
      </c>
      <c r="I1431" s="2">
        <v>1.0570608861970034</v>
      </c>
      <c r="J1431" s="6">
        <v>6804</v>
      </c>
      <c r="K1431" s="7">
        <v>2.263374485596708</v>
      </c>
      <c r="L1431" s="7">
        <v>3.4979423868312756</v>
      </c>
      <c r="M1431">
        <v>2</v>
      </c>
      <c r="O1431" s="7"/>
    </row>
    <row r="1432" spans="1:15" x14ac:dyDescent="0.25">
      <c r="A1432" t="s">
        <v>299</v>
      </c>
      <c r="B1432" s="1" t="s">
        <v>236</v>
      </c>
      <c r="C1432" s="1">
        <v>2017</v>
      </c>
      <c r="D1432" s="1">
        <v>2</v>
      </c>
      <c r="E1432" s="1">
        <v>3</v>
      </c>
      <c r="F1432" s="1">
        <v>2.5</v>
      </c>
      <c r="G1432" s="1">
        <v>1</v>
      </c>
      <c r="H1432" s="5">
        <v>0.9</v>
      </c>
      <c r="I1432" s="2">
        <v>1.0797177391182842</v>
      </c>
      <c r="J1432" s="3">
        <v>6918</v>
      </c>
      <c r="K1432">
        <v>2.263374485596708</v>
      </c>
      <c r="L1432">
        <v>3.4979423868312756</v>
      </c>
      <c r="M1432">
        <v>2</v>
      </c>
    </row>
    <row r="1433" spans="1:15" x14ac:dyDescent="0.25">
      <c r="A1433" s="8" t="s">
        <v>299</v>
      </c>
      <c r="B1433" s="1" t="s">
        <v>236</v>
      </c>
      <c r="C1433" s="1">
        <v>2018</v>
      </c>
      <c r="D1433" s="1">
        <v>2</v>
      </c>
      <c r="E1433" s="1">
        <v>3</v>
      </c>
      <c r="F1433" s="1">
        <v>2.5</v>
      </c>
      <c r="G1433" s="1">
        <v>1</v>
      </c>
      <c r="H1433" s="5">
        <v>0.97</v>
      </c>
      <c r="I1433" s="2">
        <v>1.064004059147579</v>
      </c>
      <c r="J1433" s="3">
        <v>6814</v>
      </c>
      <c r="K1433">
        <v>2.263374485596708</v>
      </c>
      <c r="L1433">
        <v>3.4979423868312756</v>
      </c>
      <c r="M1433">
        <v>2</v>
      </c>
    </row>
    <row r="1434" spans="1:15" x14ac:dyDescent="0.25">
      <c r="A1434" s="8" t="s">
        <v>300</v>
      </c>
      <c r="B1434" s="1" t="s">
        <v>236</v>
      </c>
      <c r="C1434" s="1">
        <v>2014</v>
      </c>
      <c r="D1434" s="1">
        <v>1</v>
      </c>
      <c r="E1434" s="1">
        <v>1</v>
      </c>
      <c r="F1434" s="1">
        <v>1</v>
      </c>
      <c r="G1434" s="1">
        <v>0</v>
      </c>
      <c r="H1434" s="5">
        <v>0.97</v>
      </c>
      <c r="I1434" s="5">
        <v>0.92061967094992192</v>
      </c>
      <c r="J1434" s="3">
        <v>7447</v>
      </c>
      <c r="K1434">
        <v>0.66198861379584273</v>
      </c>
      <c r="L1434">
        <v>21.30279359195022</v>
      </c>
      <c r="M1434">
        <v>2109.6</v>
      </c>
    </row>
    <row r="1435" spans="1:15" x14ac:dyDescent="0.25">
      <c r="A1435" s="8" t="s">
        <v>300</v>
      </c>
      <c r="B1435" s="1" t="s">
        <v>236</v>
      </c>
      <c r="C1435" s="1">
        <v>2015</v>
      </c>
      <c r="D1435" s="1">
        <v>1</v>
      </c>
      <c r="E1435" s="1">
        <v>1</v>
      </c>
      <c r="F1435" s="1">
        <v>1</v>
      </c>
      <c r="G1435" s="1">
        <v>0</v>
      </c>
      <c r="H1435" s="5">
        <v>0.53</v>
      </c>
      <c r="I1435" s="5">
        <v>1.0033383216300218</v>
      </c>
      <c r="J1435" s="3">
        <v>7732</v>
      </c>
      <c r="K1435">
        <v>0.66198861379584273</v>
      </c>
      <c r="L1435">
        <v>21.30279359195022</v>
      </c>
      <c r="M1435">
        <v>2190.4</v>
      </c>
    </row>
    <row r="1436" spans="1:15" x14ac:dyDescent="0.25">
      <c r="A1436" t="s">
        <v>300</v>
      </c>
      <c r="B1436" s="1" t="s">
        <v>236</v>
      </c>
      <c r="C1436" s="1">
        <v>2016</v>
      </c>
      <c r="D1436" s="1">
        <v>1</v>
      </c>
      <c r="E1436" s="1">
        <v>1</v>
      </c>
      <c r="F1436" s="1">
        <v>1</v>
      </c>
      <c r="G1436" s="1">
        <v>0</v>
      </c>
      <c r="H1436" s="2">
        <v>0.89</v>
      </c>
      <c r="I1436" s="2">
        <v>1.0696561700233671</v>
      </c>
      <c r="J1436" s="6">
        <v>7553</v>
      </c>
      <c r="K1436" s="7">
        <v>0.66198861379584273</v>
      </c>
      <c r="L1436" s="7">
        <v>21.30279359195022</v>
      </c>
      <c r="M1436">
        <v>2204.1999999999998</v>
      </c>
      <c r="O1436" s="7"/>
    </row>
    <row r="1437" spans="1:15" x14ac:dyDescent="0.25">
      <c r="A1437" t="s">
        <v>300</v>
      </c>
      <c r="B1437" s="1" t="s">
        <v>236</v>
      </c>
      <c r="C1437" s="1">
        <v>2017</v>
      </c>
      <c r="D1437" s="1">
        <v>1</v>
      </c>
      <c r="E1437" s="1">
        <v>1</v>
      </c>
      <c r="F1437" s="1">
        <v>1</v>
      </c>
      <c r="G1437" s="1">
        <v>0</v>
      </c>
      <c r="H1437" s="5">
        <f>916/2097</f>
        <v>0.4368144969003338</v>
      </c>
      <c r="I1437" s="2">
        <v>1.2858329871208973</v>
      </c>
      <c r="J1437" s="3">
        <v>7862</v>
      </c>
      <c r="K1437">
        <v>0.66198861379584273</v>
      </c>
      <c r="L1437">
        <v>21.30279359195022</v>
      </c>
      <c r="M1437">
        <v>2227.1999999999998</v>
      </c>
    </row>
    <row r="1438" spans="1:15" x14ac:dyDescent="0.25">
      <c r="A1438" s="8" t="s">
        <v>300</v>
      </c>
      <c r="B1438" s="1" t="s">
        <v>236</v>
      </c>
      <c r="C1438" s="1">
        <v>2018</v>
      </c>
      <c r="D1438" s="1">
        <v>1</v>
      </c>
      <c r="E1438" s="1">
        <v>1</v>
      </c>
      <c r="F1438" s="1">
        <v>1</v>
      </c>
      <c r="G1438" s="1">
        <v>0</v>
      </c>
      <c r="H1438" s="5">
        <v>0.61</v>
      </c>
      <c r="I1438" s="2">
        <v>1.0301192219201005</v>
      </c>
      <c r="J1438" s="3">
        <v>7944</v>
      </c>
      <c r="K1438">
        <v>0.66198861379584273</v>
      </c>
      <c r="L1438">
        <v>21.30279359195022</v>
      </c>
      <c r="M1438">
        <v>2250.4</v>
      </c>
    </row>
    <row r="1439" spans="1:15" x14ac:dyDescent="0.25">
      <c r="A1439" s="8" t="s">
        <v>301</v>
      </c>
      <c r="B1439" s="1" t="s">
        <v>236</v>
      </c>
      <c r="C1439" s="1">
        <v>2014</v>
      </c>
      <c r="D1439" s="1">
        <v>3</v>
      </c>
      <c r="E1439" s="1">
        <v>3</v>
      </c>
      <c r="F1439" s="1">
        <v>3</v>
      </c>
      <c r="G1439" s="1">
        <v>0</v>
      </c>
      <c r="H1439" s="5">
        <v>0.5</v>
      </c>
      <c r="I1439" s="5">
        <v>1.023539668700959</v>
      </c>
      <c r="J1439" s="3">
        <v>11982</v>
      </c>
      <c r="K1439">
        <v>1.8927714970880436</v>
      </c>
      <c r="L1439">
        <v>2.5693730729701953</v>
      </c>
      <c r="M1439">
        <v>3.1</v>
      </c>
    </row>
    <row r="1440" spans="1:15" x14ac:dyDescent="0.25">
      <c r="A1440" s="8" t="s">
        <v>301</v>
      </c>
      <c r="B1440" s="1" t="s">
        <v>236</v>
      </c>
      <c r="C1440" s="1">
        <v>2015</v>
      </c>
      <c r="D1440" s="1">
        <v>3</v>
      </c>
      <c r="E1440" s="1">
        <v>3</v>
      </c>
      <c r="F1440" s="1">
        <v>3</v>
      </c>
      <c r="G1440" s="1">
        <v>0</v>
      </c>
      <c r="H1440" s="5">
        <v>0.74</v>
      </c>
      <c r="I1440" s="5">
        <v>1.1634067838573905</v>
      </c>
      <c r="J1440" s="3">
        <v>12010</v>
      </c>
      <c r="K1440">
        <v>1.8927714970880436</v>
      </c>
      <c r="L1440">
        <v>2.5693730729701953</v>
      </c>
      <c r="M1440">
        <v>3.1</v>
      </c>
    </row>
    <row r="1441" spans="1:15" x14ac:dyDescent="0.25">
      <c r="A1441" t="s">
        <v>301</v>
      </c>
      <c r="B1441" s="1" t="s">
        <v>236</v>
      </c>
      <c r="C1441" s="1">
        <v>2016</v>
      </c>
      <c r="D1441" s="1">
        <v>3</v>
      </c>
      <c r="E1441" s="1">
        <v>3</v>
      </c>
      <c r="F1441" s="1">
        <v>3</v>
      </c>
      <c r="G1441" s="1">
        <v>0</v>
      </c>
      <c r="H1441" s="2">
        <v>0.94</v>
      </c>
      <c r="I1441" s="2">
        <v>1.0745071834279987</v>
      </c>
      <c r="J1441" s="6">
        <v>11676</v>
      </c>
      <c r="K1441" s="7">
        <v>1.8927714970880436</v>
      </c>
      <c r="L1441" s="7">
        <v>2.5693730729701953</v>
      </c>
      <c r="M1441">
        <v>3.1</v>
      </c>
      <c r="O1441" s="7"/>
    </row>
    <row r="1442" spans="1:15" x14ac:dyDescent="0.25">
      <c r="A1442" t="s">
        <v>301</v>
      </c>
      <c r="B1442" s="1" t="s">
        <v>236</v>
      </c>
      <c r="C1442" s="1">
        <v>2017</v>
      </c>
      <c r="D1442" s="1">
        <v>3</v>
      </c>
      <c r="E1442" s="1">
        <v>3</v>
      </c>
      <c r="F1442" s="1">
        <v>3</v>
      </c>
      <c r="G1442" s="1">
        <v>0</v>
      </c>
      <c r="H1442" s="5">
        <v>0.9</v>
      </c>
      <c r="I1442" s="2">
        <v>1.1285117856832216</v>
      </c>
      <c r="J1442" s="3">
        <v>12025</v>
      </c>
      <c r="K1442">
        <v>1.8927714970880436</v>
      </c>
      <c r="L1442">
        <v>2.5693730729701953</v>
      </c>
      <c r="M1442">
        <v>3.1</v>
      </c>
    </row>
    <row r="1443" spans="1:15" x14ac:dyDescent="0.25">
      <c r="A1443" s="8" t="s">
        <v>301</v>
      </c>
      <c r="B1443" s="1" t="s">
        <v>236</v>
      </c>
      <c r="C1443" s="1">
        <v>2018</v>
      </c>
      <c r="D1443" s="1">
        <v>3</v>
      </c>
      <c r="E1443" s="1">
        <v>3</v>
      </c>
      <c r="F1443" s="1">
        <v>3</v>
      </c>
      <c r="G1443" s="1">
        <v>0</v>
      </c>
      <c r="H1443" s="5">
        <v>0.84</v>
      </c>
      <c r="I1443" s="2">
        <v>1.1534743470356081</v>
      </c>
      <c r="J1443" s="3">
        <v>12031</v>
      </c>
      <c r="K1443">
        <v>1.8927714970880436</v>
      </c>
      <c r="L1443">
        <v>2.5693730729701953</v>
      </c>
      <c r="M1443">
        <v>3.1</v>
      </c>
    </row>
    <row r="1444" spans="1:15" x14ac:dyDescent="0.25">
      <c r="A1444" s="8" t="s">
        <v>302</v>
      </c>
      <c r="B1444" s="1" t="s">
        <v>236</v>
      </c>
      <c r="C1444" s="1">
        <v>2014</v>
      </c>
      <c r="D1444" s="1">
        <v>1</v>
      </c>
      <c r="E1444" s="1">
        <v>1</v>
      </c>
      <c r="F1444" s="1">
        <v>1</v>
      </c>
      <c r="G1444" s="1">
        <v>0</v>
      </c>
      <c r="H1444" s="5">
        <v>0.98</v>
      </c>
      <c r="I1444" s="5">
        <v>1.1040230090392655</v>
      </c>
      <c r="J1444" s="3">
        <v>58627</v>
      </c>
      <c r="K1444">
        <v>0.99485301737538434</v>
      </c>
      <c r="L1444">
        <v>30.783446751183114</v>
      </c>
      <c r="M1444">
        <v>1582.8</v>
      </c>
    </row>
    <row r="1445" spans="1:15" x14ac:dyDescent="0.25">
      <c r="A1445" s="8" t="s">
        <v>302</v>
      </c>
      <c r="B1445" s="1" t="s">
        <v>236</v>
      </c>
      <c r="C1445" s="1">
        <v>2015</v>
      </c>
      <c r="D1445" s="1">
        <v>1</v>
      </c>
      <c r="E1445" s="1">
        <v>1</v>
      </c>
      <c r="F1445" s="1">
        <v>1</v>
      </c>
      <c r="G1445" s="1">
        <v>0</v>
      </c>
      <c r="H1445" s="5">
        <v>0.99</v>
      </c>
      <c r="I1445" s="5">
        <v>1.115915222887784</v>
      </c>
      <c r="J1445" s="3">
        <v>59075</v>
      </c>
      <c r="K1445">
        <v>0.99485301737538434</v>
      </c>
      <c r="L1445">
        <v>30.783446751183114</v>
      </c>
      <c r="M1445">
        <v>1594.9</v>
      </c>
    </row>
    <row r="1446" spans="1:15" x14ac:dyDescent="0.25">
      <c r="A1446" t="s">
        <v>302</v>
      </c>
      <c r="B1446" s="1" t="s">
        <v>236</v>
      </c>
      <c r="C1446" s="1">
        <v>2016</v>
      </c>
      <c r="D1446" s="1">
        <v>1</v>
      </c>
      <c r="E1446" s="1">
        <v>1</v>
      </c>
      <c r="F1446" s="1">
        <v>1</v>
      </c>
      <c r="G1446" s="1">
        <v>0</v>
      </c>
      <c r="H1446" s="5">
        <v>1.04</v>
      </c>
      <c r="I1446" s="2">
        <v>1.0634808195292067</v>
      </c>
      <c r="J1446" s="6">
        <v>57898</v>
      </c>
      <c r="K1446" s="7">
        <v>0.99485301737538434</v>
      </c>
      <c r="L1446" s="7">
        <v>30.783446751183114</v>
      </c>
      <c r="M1446">
        <v>1603.9</v>
      </c>
      <c r="O1446" s="7"/>
    </row>
    <row r="1447" spans="1:15" x14ac:dyDescent="0.25">
      <c r="A1447" t="s">
        <v>302</v>
      </c>
      <c r="B1447" s="1" t="s">
        <v>236</v>
      </c>
      <c r="C1447" s="1">
        <v>2017</v>
      </c>
      <c r="D1447" s="1">
        <v>1</v>
      </c>
      <c r="E1447" s="1">
        <v>1</v>
      </c>
      <c r="F1447" s="1">
        <v>1</v>
      </c>
      <c r="G1447" s="1">
        <v>0</v>
      </c>
      <c r="H1447" s="5">
        <v>1.05</v>
      </c>
      <c r="I1447" s="2">
        <v>1.2088006740941859</v>
      </c>
      <c r="J1447" s="3">
        <v>59579</v>
      </c>
      <c r="K1447">
        <v>0.99485301737538434</v>
      </c>
      <c r="L1447">
        <v>30.783446751183114</v>
      </c>
      <c r="M1447">
        <v>1608.5</v>
      </c>
    </row>
    <row r="1448" spans="1:15" x14ac:dyDescent="0.25">
      <c r="A1448" s="8" t="s">
        <v>302</v>
      </c>
      <c r="B1448" s="1" t="s">
        <v>236</v>
      </c>
      <c r="C1448" s="1">
        <v>2018</v>
      </c>
      <c r="D1448" s="1">
        <v>1</v>
      </c>
      <c r="E1448" s="1">
        <v>1</v>
      </c>
      <c r="F1448" s="1">
        <v>1</v>
      </c>
      <c r="G1448" s="1">
        <v>0</v>
      </c>
      <c r="H1448" s="2">
        <v>1.52</v>
      </c>
      <c r="I1448" s="2">
        <v>1.1638866166376214</v>
      </c>
      <c r="J1448" s="3">
        <v>60105</v>
      </c>
      <c r="K1448">
        <v>0.99485301737538434</v>
      </c>
      <c r="L1448">
        <v>30.783446751183114</v>
      </c>
      <c r="M1448">
        <v>1622.7</v>
      </c>
    </row>
    <row r="1449" spans="1:15" x14ac:dyDescent="0.25">
      <c r="A1449" s="8" t="s">
        <v>303</v>
      </c>
      <c r="B1449" s="1" t="s">
        <v>236</v>
      </c>
      <c r="C1449" s="1">
        <v>2014</v>
      </c>
      <c r="D1449" s="1">
        <v>3</v>
      </c>
      <c r="E1449" s="1">
        <v>3</v>
      </c>
      <c r="F1449" s="1">
        <v>3</v>
      </c>
      <c r="G1449" s="1">
        <v>0</v>
      </c>
      <c r="H1449" s="5">
        <v>1.71</v>
      </c>
      <c r="I1449" s="5">
        <v>0.90312837108953614</v>
      </c>
      <c r="J1449" s="3">
        <v>22703</v>
      </c>
      <c r="K1449">
        <v>4.723074808740666</v>
      </c>
      <c r="L1449">
        <v>6.1935956754775754</v>
      </c>
      <c r="M1449">
        <v>21.2</v>
      </c>
    </row>
    <row r="1450" spans="1:15" x14ac:dyDescent="0.25">
      <c r="A1450" s="8" t="s">
        <v>303</v>
      </c>
      <c r="B1450" s="1" t="s">
        <v>236</v>
      </c>
      <c r="C1450" s="1">
        <v>2015</v>
      </c>
      <c r="D1450" s="1">
        <v>3</v>
      </c>
      <c r="E1450" s="1">
        <v>3</v>
      </c>
      <c r="F1450" s="1">
        <v>3</v>
      </c>
      <c r="G1450" s="1">
        <v>0</v>
      </c>
      <c r="H1450" s="5">
        <v>0.87</v>
      </c>
      <c r="I1450" s="5">
        <v>1.0563266948300141</v>
      </c>
      <c r="J1450" s="3">
        <v>22670</v>
      </c>
      <c r="K1450">
        <v>4.723074808740666</v>
      </c>
      <c r="L1450">
        <v>6.1935956754775754</v>
      </c>
      <c r="M1450">
        <v>21.2</v>
      </c>
    </row>
    <row r="1451" spans="1:15" x14ac:dyDescent="0.25">
      <c r="A1451" t="s">
        <v>303</v>
      </c>
      <c r="B1451" s="1" t="s">
        <v>236</v>
      </c>
      <c r="C1451" s="1">
        <v>2016</v>
      </c>
      <c r="D1451" s="1">
        <v>3</v>
      </c>
      <c r="E1451" s="1">
        <v>3</v>
      </c>
      <c r="F1451" s="1">
        <v>3</v>
      </c>
      <c r="G1451" s="1">
        <v>0</v>
      </c>
      <c r="H1451" s="2">
        <v>0.59</v>
      </c>
      <c r="I1451" s="2">
        <v>0.94867360702798054</v>
      </c>
      <c r="J1451" s="6">
        <v>21829</v>
      </c>
      <c r="K1451" s="7">
        <v>4.723074808740666</v>
      </c>
      <c r="L1451" s="7">
        <v>6.1935956754775754</v>
      </c>
      <c r="M1451">
        <v>21</v>
      </c>
      <c r="O1451" s="7"/>
    </row>
    <row r="1452" spans="1:15" x14ac:dyDescent="0.25">
      <c r="A1452" t="s">
        <v>303</v>
      </c>
      <c r="B1452" s="1" t="s">
        <v>236</v>
      </c>
      <c r="C1452" s="1">
        <v>2017</v>
      </c>
      <c r="D1452" s="1">
        <v>3</v>
      </c>
      <c r="E1452" s="1">
        <v>3</v>
      </c>
      <c r="F1452" s="1">
        <v>3</v>
      </c>
      <c r="G1452" s="1">
        <v>0</v>
      </c>
      <c r="H1452" s="5">
        <v>0.5</v>
      </c>
      <c r="I1452" s="2">
        <v>1.1075979395418192</v>
      </c>
      <c r="J1452" s="3">
        <v>22004</v>
      </c>
      <c r="K1452">
        <v>4.723074808740666</v>
      </c>
      <c r="L1452">
        <v>6.1935956754775754</v>
      </c>
      <c r="M1452">
        <v>20.5</v>
      </c>
    </row>
    <row r="1453" spans="1:15" x14ac:dyDescent="0.25">
      <c r="A1453" s="8" t="s">
        <v>303</v>
      </c>
      <c r="B1453" s="1" t="s">
        <v>236</v>
      </c>
      <c r="C1453" s="1">
        <v>2018</v>
      </c>
      <c r="D1453" s="1">
        <v>3</v>
      </c>
      <c r="E1453" s="1">
        <v>3</v>
      </c>
      <c r="F1453" s="1">
        <v>3</v>
      </c>
      <c r="G1453" s="1">
        <v>0</v>
      </c>
      <c r="H1453" s="5">
        <v>0.65</v>
      </c>
      <c r="I1453" s="2">
        <v>1.0384499648935104</v>
      </c>
      <c r="J1453" s="3">
        <v>21766</v>
      </c>
      <c r="K1453">
        <v>4.723074808740666</v>
      </c>
      <c r="L1453">
        <v>6.1935956754775754</v>
      </c>
      <c r="M1453">
        <v>20.3</v>
      </c>
    </row>
    <row r="1454" spans="1:15" x14ac:dyDescent="0.25">
      <c r="A1454" s="8" t="s">
        <v>304</v>
      </c>
      <c r="B1454" s="1" t="s">
        <v>236</v>
      </c>
      <c r="C1454" s="1">
        <v>2014</v>
      </c>
      <c r="D1454" s="1">
        <v>4</v>
      </c>
      <c r="E1454" s="1">
        <v>5</v>
      </c>
      <c r="F1454" s="1">
        <v>4.5</v>
      </c>
      <c r="G1454" s="1">
        <v>1</v>
      </c>
      <c r="H1454" s="5">
        <v>1</v>
      </c>
      <c r="I1454" s="5">
        <v>0.82197802197802194</v>
      </c>
      <c r="J1454" s="3">
        <v>1276</v>
      </c>
      <c r="K1454">
        <v>2.0816653322658127</v>
      </c>
      <c r="L1454">
        <v>0.56044835868694953</v>
      </c>
      <c r="M1454">
        <v>0.3</v>
      </c>
    </row>
    <row r="1455" spans="1:15" x14ac:dyDescent="0.25">
      <c r="A1455" s="8" t="s">
        <v>304</v>
      </c>
      <c r="B1455" s="1" t="s">
        <v>236</v>
      </c>
      <c r="C1455" s="1">
        <v>2015</v>
      </c>
      <c r="D1455" s="1">
        <v>4</v>
      </c>
      <c r="E1455" s="1">
        <v>5</v>
      </c>
      <c r="F1455" s="1">
        <v>4.5</v>
      </c>
      <c r="G1455" s="1">
        <v>1</v>
      </c>
      <c r="H1455" s="5">
        <v>1.07</v>
      </c>
      <c r="I1455" s="5">
        <v>1.2102035810645082</v>
      </c>
      <c r="J1455" s="3">
        <v>1279</v>
      </c>
      <c r="K1455">
        <v>2.0816653322658127</v>
      </c>
      <c r="L1455">
        <v>0.56044835868694953</v>
      </c>
      <c r="M1455">
        <v>0.3</v>
      </c>
    </row>
    <row r="1456" spans="1:15" x14ac:dyDescent="0.25">
      <c r="A1456" t="s">
        <v>304</v>
      </c>
      <c r="B1456" s="1" t="s">
        <v>236</v>
      </c>
      <c r="C1456" s="1">
        <v>2016</v>
      </c>
      <c r="D1456" s="1">
        <v>4</v>
      </c>
      <c r="E1456" s="1">
        <v>5</v>
      </c>
      <c r="F1456" s="1">
        <v>4.5</v>
      </c>
      <c r="G1456" s="1">
        <v>1</v>
      </c>
      <c r="H1456" s="2">
        <v>0.92</v>
      </c>
      <c r="I1456" s="2">
        <v>1.0681020360402527</v>
      </c>
      <c r="J1456" s="6">
        <v>1249</v>
      </c>
      <c r="K1456" s="7">
        <v>2.0816653322658127</v>
      </c>
      <c r="L1456" s="7">
        <v>0.56044835868694953</v>
      </c>
      <c r="M1456">
        <v>0.3</v>
      </c>
      <c r="O1456" s="7"/>
    </row>
    <row r="1457" spans="1:15" x14ac:dyDescent="0.25">
      <c r="A1457" t="s">
        <v>304</v>
      </c>
      <c r="B1457" s="1" t="s">
        <v>236</v>
      </c>
      <c r="C1457" s="1">
        <v>2017</v>
      </c>
      <c r="D1457" s="1">
        <v>4</v>
      </c>
      <c r="E1457" s="1">
        <v>5</v>
      </c>
      <c r="F1457" s="1">
        <v>4.5</v>
      </c>
      <c r="G1457" s="1">
        <v>1</v>
      </c>
      <c r="H1457" s="5">
        <v>0.82</v>
      </c>
      <c r="I1457" s="2">
        <v>1.3387347391786903</v>
      </c>
      <c r="J1457" s="3">
        <v>1292</v>
      </c>
      <c r="K1457">
        <v>2.0816653322658127</v>
      </c>
      <c r="L1457">
        <v>0.56044835868694953</v>
      </c>
      <c r="M1457">
        <v>0.3</v>
      </c>
    </row>
    <row r="1458" spans="1:15" x14ac:dyDescent="0.25">
      <c r="A1458" s="8" t="s">
        <v>304</v>
      </c>
      <c r="B1458" s="1" t="s">
        <v>236</v>
      </c>
      <c r="C1458" s="1">
        <v>2018</v>
      </c>
      <c r="D1458" s="1">
        <v>4</v>
      </c>
      <c r="E1458" s="1">
        <v>5</v>
      </c>
      <c r="F1458" s="1">
        <v>4.5</v>
      </c>
      <c r="G1458" s="1">
        <v>1</v>
      </c>
      <c r="H1458" s="5">
        <v>0.97</v>
      </c>
      <c r="I1458" s="2">
        <v>1.482378326540398</v>
      </c>
      <c r="J1458" s="3">
        <v>1294</v>
      </c>
      <c r="K1458">
        <v>2.0816653322658127</v>
      </c>
      <c r="L1458">
        <v>0.56044835868694953</v>
      </c>
      <c r="M1458">
        <v>0.3</v>
      </c>
    </row>
    <row r="1459" spans="1:15" x14ac:dyDescent="0.25">
      <c r="A1459" s="8" t="s">
        <v>305</v>
      </c>
      <c r="B1459" s="1" t="s">
        <v>236</v>
      </c>
      <c r="C1459" s="1">
        <v>2014</v>
      </c>
      <c r="D1459" s="1">
        <v>2</v>
      </c>
      <c r="E1459" s="1">
        <v>2</v>
      </c>
      <c r="F1459" s="1">
        <v>2</v>
      </c>
      <c r="G1459" s="1">
        <v>0</v>
      </c>
      <c r="H1459" s="5">
        <v>0.5</v>
      </c>
      <c r="I1459" s="5">
        <v>0.99819324430479184</v>
      </c>
      <c r="J1459" s="3">
        <v>4925</v>
      </c>
      <c r="K1459">
        <v>1.0271317829457365</v>
      </c>
      <c r="L1459">
        <v>2.4224806201550391</v>
      </c>
      <c r="M1459">
        <v>6.6</v>
      </c>
    </row>
    <row r="1460" spans="1:15" x14ac:dyDescent="0.25">
      <c r="A1460" s="8" t="s">
        <v>305</v>
      </c>
      <c r="B1460" s="1" t="s">
        <v>236</v>
      </c>
      <c r="C1460" s="1">
        <v>2015</v>
      </c>
      <c r="D1460" s="1">
        <v>2</v>
      </c>
      <c r="E1460" s="1">
        <v>2</v>
      </c>
      <c r="F1460" s="1">
        <v>2</v>
      </c>
      <c r="G1460" s="1">
        <v>0</v>
      </c>
      <c r="H1460" s="5">
        <v>0.5</v>
      </c>
      <c r="I1460" s="5">
        <v>1.010812036897021</v>
      </c>
      <c r="J1460" s="3">
        <v>5095</v>
      </c>
      <c r="K1460">
        <v>1.0271317829457365</v>
      </c>
      <c r="L1460">
        <v>2.4224806201550391</v>
      </c>
      <c r="M1460">
        <v>6.8</v>
      </c>
    </row>
    <row r="1461" spans="1:15" x14ac:dyDescent="0.25">
      <c r="A1461" t="s">
        <v>305</v>
      </c>
      <c r="B1461" s="1" t="s">
        <v>236</v>
      </c>
      <c r="C1461" s="1">
        <v>2016</v>
      </c>
      <c r="D1461" s="1">
        <v>2</v>
      </c>
      <c r="E1461" s="1">
        <v>2</v>
      </c>
      <c r="F1461" s="1">
        <v>2</v>
      </c>
      <c r="G1461" s="1">
        <v>0</v>
      </c>
      <c r="H1461" s="2">
        <v>0.92</v>
      </c>
      <c r="I1461" s="2">
        <v>1.0031201248049921</v>
      </c>
      <c r="J1461" s="6">
        <v>5160</v>
      </c>
      <c r="K1461" s="7">
        <v>1.0271317829457365</v>
      </c>
      <c r="L1461" s="7">
        <v>2.4224806201550391</v>
      </c>
      <c r="M1461">
        <v>7</v>
      </c>
      <c r="O1461" s="7"/>
    </row>
    <row r="1462" spans="1:15" x14ac:dyDescent="0.25">
      <c r="A1462" t="s">
        <v>305</v>
      </c>
      <c r="B1462" s="1" t="s">
        <v>236</v>
      </c>
      <c r="C1462" s="1">
        <v>2017</v>
      </c>
      <c r="D1462" s="1">
        <v>2</v>
      </c>
      <c r="E1462" s="1">
        <v>2</v>
      </c>
      <c r="F1462" s="1">
        <v>2</v>
      </c>
      <c r="G1462" s="1">
        <v>0</v>
      </c>
      <c r="H1462" s="5">
        <v>0.75</v>
      </c>
      <c r="I1462" s="2">
        <v>1.073622242712249</v>
      </c>
      <c r="J1462" s="3">
        <v>5401</v>
      </c>
      <c r="K1462">
        <v>1.0271317829457365</v>
      </c>
      <c r="L1462">
        <v>2.4224806201550391</v>
      </c>
      <c r="M1462">
        <v>7.2</v>
      </c>
    </row>
    <row r="1463" spans="1:15" x14ac:dyDescent="0.25">
      <c r="A1463" s="8" t="s">
        <v>305</v>
      </c>
      <c r="B1463" s="1" t="s">
        <v>236</v>
      </c>
      <c r="C1463" s="1">
        <v>2018</v>
      </c>
      <c r="D1463" s="1">
        <v>2</v>
      </c>
      <c r="E1463" s="1">
        <v>2</v>
      </c>
      <c r="F1463" s="1">
        <v>2</v>
      </c>
      <c r="G1463" s="1">
        <v>0</v>
      </c>
      <c r="H1463" s="5">
        <v>0.94</v>
      </c>
      <c r="I1463" s="2">
        <v>0.99325798136030152</v>
      </c>
      <c r="J1463" s="3">
        <v>5478</v>
      </c>
      <c r="K1463">
        <v>1.0271317829457365</v>
      </c>
      <c r="L1463">
        <v>2.4224806201550391</v>
      </c>
      <c r="M1463">
        <v>7.3</v>
      </c>
    </row>
    <row r="1464" spans="1:15" x14ac:dyDescent="0.25">
      <c r="A1464" s="8" t="s">
        <v>306</v>
      </c>
      <c r="B1464" s="1" t="s">
        <v>236</v>
      </c>
      <c r="C1464" s="1">
        <v>2014</v>
      </c>
      <c r="D1464" s="1">
        <v>3</v>
      </c>
      <c r="E1464" s="1">
        <v>4</v>
      </c>
      <c r="F1464" s="1">
        <v>3.5</v>
      </c>
      <c r="G1464" s="1">
        <v>1</v>
      </c>
      <c r="H1464" s="5">
        <v>0.6</v>
      </c>
      <c r="I1464" s="5">
        <v>0.87955882871137114</v>
      </c>
      <c r="J1464" s="3">
        <v>11254</v>
      </c>
      <c r="K1464">
        <v>2.7124773960216997</v>
      </c>
      <c r="L1464">
        <v>1.4828209764918625</v>
      </c>
      <c r="M1464">
        <v>1.9</v>
      </c>
    </row>
    <row r="1465" spans="1:15" x14ac:dyDescent="0.25">
      <c r="A1465" s="8" t="s">
        <v>306</v>
      </c>
      <c r="B1465" s="1" t="s">
        <v>236</v>
      </c>
      <c r="C1465" s="1">
        <v>2015</v>
      </c>
      <c r="D1465" s="1">
        <v>3</v>
      </c>
      <c r="E1465" s="1">
        <v>4</v>
      </c>
      <c r="F1465" s="1">
        <v>3.5</v>
      </c>
      <c r="G1465" s="1">
        <v>1</v>
      </c>
      <c r="H1465" s="5">
        <v>0.54</v>
      </c>
      <c r="I1465" s="5">
        <v>0.94299020940984501</v>
      </c>
      <c r="J1465" s="3">
        <v>11267</v>
      </c>
      <c r="K1465">
        <v>2.7124773960216997</v>
      </c>
      <c r="L1465">
        <v>1.4828209764918625</v>
      </c>
      <c r="M1465">
        <v>1.9</v>
      </c>
    </row>
    <row r="1466" spans="1:15" x14ac:dyDescent="0.25">
      <c r="A1466" t="s">
        <v>306</v>
      </c>
      <c r="B1466" s="1" t="s">
        <v>236</v>
      </c>
      <c r="C1466" s="1">
        <v>2016</v>
      </c>
      <c r="D1466" s="1">
        <v>3</v>
      </c>
      <c r="E1466" s="1">
        <v>4</v>
      </c>
      <c r="F1466" s="1">
        <v>3.5</v>
      </c>
      <c r="G1466" s="1">
        <v>1</v>
      </c>
      <c r="H1466" s="2">
        <v>0.49</v>
      </c>
      <c r="I1466" s="2">
        <v>0.92389190639039764</v>
      </c>
      <c r="J1466" s="6">
        <v>11060</v>
      </c>
      <c r="K1466" s="7">
        <v>2.7124773960216997</v>
      </c>
      <c r="L1466" s="7">
        <v>1.4828209764918625</v>
      </c>
      <c r="M1466">
        <v>1.9</v>
      </c>
      <c r="O1466" s="7"/>
    </row>
    <row r="1467" spans="1:15" x14ac:dyDescent="0.25">
      <c r="A1467" t="s">
        <v>306</v>
      </c>
      <c r="B1467" s="1" t="s">
        <v>236</v>
      </c>
      <c r="C1467" s="1">
        <v>2017</v>
      </c>
      <c r="D1467" s="1">
        <v>3</v>
      </c>
      <c r="E1467" s="1">
        <v>4</v>
      </c>
      <c r="F1467" s="1">
        <v>3.5</v>
      </c>
      <c r="G1467" s="1">
        <v>1</v>
      </c>
      <c r="H1467" s="5">
        <v>0.84</v>
      </c>
      <c r="I1467" s="2">
        <v>1.0034775525549047</v>
      </c>
      <c r="J1467" s="3">
        <v>11301</v>
      </c>
      <c r="K1467">
        <v>2.7124773960216997</v>
      </c>
      <c r="L1467">
        <v>1.4828209764918625</v>
      </c>
      <c r="M1467">
        <v>1.9</v>
      </c>
    </row>
    <row r="1468" spans="1:15" x14ac:dyDescent="0.25">
      <c r="A1468" s="8" t="s">
        <v>306</v>
      </c>
      <c r="B1468" s="1" t="s">
        <v>236</v>
      </c>
      <c r="C1468" s="1">
        <v>2018</v>
      </c>
      <c r="D1468" s="1">
        <v>3</v>
      </c>
      <c r="E1468" s="1">
        <v>4</v>
      </c>
      <c r="F1468" s="1">
        <v>3.5</v>
      </c>
      <c r="G1468" s="1">
        <v>1</v>
      </c>
      <c r="H1468" s="2">
        <v>0.74</v>
      </c>
      <c r="I1468" s="2">
        <v>0.99486312096723672</v>
      </c>
      <c r="J1468" s="3">
        <v>11328</v>
      </c>
      <c r="K1468">
        <v>2.7124773960216997</v>
      </c>
      <c r="L1468">
        <v>1.4828209764918625</v>
      </c>
      <c r="M1468">
        <v>1.9</v>
      </c>
    </row>
    <row r="1469" spans="1:15" x14ac:dyDescent="0.25">
      <c r="A1469" s="8" t="s">
        <v>307</v>
      </c>
      <c r="B1469" s="1" t="s">
        <v>308</v>
      </c>
      <c r="C1469" s="1">
        <v>2014</v>
      </c>
      <c r="D1469" s="1">
        <v>3</v>
      </c>
      <c r="E1469" s="1">
        <v>4</v>
      </c>
      <c r="F1469" s="1">
        <v>3.5</v>
      </c>
      <c r="G1469" s="1">
        <v>1</v>
      </c>
      <c r="H1469" s="2">
        <v>1.3791338311558747</v>
      </c>
      <c r="I1469" s="2">
        <v>0.99309630926933978</v>
      </c>
      <c r="J1469" s="3">
        <v>6312</v>
      </c>
      <c r="K1469">
        <v>3.768020969855832</v>
      </c>
      <c r="L1469">
        <v>1.834862385321101</v>
      </c>
      <c r="M1469">
        <v>1.8</v>
      </c>
    </row>
    <row r="1470" spans="1:15" x14ac:dyDescent="0.25">
      <c r="A1470" s="8" t="s">
        <v>307</v>
      </c>
      <c r="B1470" s="1" t="s">
        <v>308</v>
      </c>
      <c r="C1470" s="1">
        <v>2015</v>
      </c>
      <c r="D1470" s="1">
        <v>3</v>
      </c>
      <c r="E1470" s="1">
        <v>4</v>
      </c>
      <c r="F1470" s="1">
        <v>3.5</v>
      </c>
      <c r="G1470" s="1">
        <v>1</v>
      </c>
      <c r="H1470" s="2">
        <v>2.5240236430345822</v>
      </c>
      <c r="I1470" s="2">
        <v>1.3185018178477728</v>
      </c>
      <c r="J1470" s="3">
        <v>6254</v>
      </c>
      <c r="K1470">
        <v>3.768020969855832</v>
      </c>
      <c r="L1470">
        <v>1.834862385321101</v>
      </c>
      <c r="M1470">
        <v>1.8</v>
      </c>
    </row>
    <row r="1471" spans="1:15" x14ac:dyDescent="0.25">
      <c r="A1471" t="s">
        <v>307</v>
      </c>
      <c r="B1471" s="1" t="s">
        <v>308</v>
      </c>
      <c r="C1471" s="1">
        <v>2016</v>
      </c>
      <c r="D1471" s="1">
        <v>3</v>
      </c>
      <c r="E1471" s="1">
        <v>4</v>
      </c>
      <c r="F1471" s="1">
        <v>3.5</v>
      </c>
      <c r="G1471" s="1">
        <v>1</v>
      </c>
      <c r="H1471" s="2">
        <v>1.3457798276583905</v>
      </c>
      <c r="I1471" s="2">
        <v>1.2587274340540715</v>
      </c>
      <c r="J1471" s="6">
        <v>6104</v>
      </c>
      <c r="K1471" s="7">
        <v>3.768020969855832</v>
      </c>
      <c r="L1471" s="7">
        <v>1.834862385321101</v>
      </c>
      <c r="M1471">
        <v>1.8</v>
      </c>
      <c r="O1471" s="7"/>
    </row>
    <row r="1472" spans="1:15" x14ac:dyDescent="0.25">
      <c r="A1472" t="s">
        <v>307</v>
      </c>
      <c r="B1472" s="1" t="s">
        <v>308</v>
      </c>
      <c r="C1472" s="1">
        <v>2017</v>
      </c>
      <c r="D1472" s="1">
        <v>3</v>
      </c>
      <c r="E1472" s="1">
        <v>4</v>
      </c>
      <c r="F1472" s="1">
        <v>3.5</v>
      </c>
      <c r="G1472" s="1">
        <v>1</v>
      </c>
      <c r="H1472" s="5">
        <v>1.8510121300801874</v>
      </c>
      <c r="I1472" s="2">
        <v>1.2137363390608968</v>
      </c>
      <c r="J1472" s="3">
        <v>6186</v>
      </c>
      <c r="K1472">
        <v>3.768020969855832</v>
      </c>
      <c r="L1472">
        <v>1.834862385321101</v>
      </c>
      <c r="M1472">
        <v>1.8</v>
      </c>
    </row>
    <row r="1473" spans="1:15" x14ac:dyDescent="0.25">
      <c r="A1473" s="8" t="s">
        <v>307</v>
      </c>
      <c r="B1473" s="1" t="s">
        <v>308</v>
      </c>
      <c r="C1473" s="1">
        <v>2018</v>
      </c>
      <c r="D1473" s="1">
        <v>3</v>
      </c>
      <c r="E1473" s="1">
        <v>4</v>
      </c>
      <c r="F1473" s="1">
        <v>3.5</v>
      </c>
      <c r="G1473" s="1">
        <v>1</v>
      </c>
      <c r="H1473" s="2">
        <v>1.580350571247608</v>
      </c>
      <c r="I1473" s="2">
        <v>1.2558541961911427</v>
      </c>
      <c r="J1473" s="3">
        <v>6232</v>
      </c>
      <c r="K1473">
        <v>3.768020969855832</v>
      </c>
      <c r="L1473">
        <v>1.834862385321101</v>
      </c>
      <c r="M1473">
        <v>1.8</v>
      </c>
    </row>
    <row r="1474" spans="1:15" x14ac:dyDescent="0.25">
      <c r="A1474" s="8" t="s">
        <v>309</v>
      </c>
      <c r="B1474" s="1" t="s">
        <v>308</v>
      </c>
      <c r="C1474" s="1">
        <v>2014</v>
      </c>
      <c r="D1474" s="1">
        <v>2</v>
      </c>
      <c r="E1474" s="1">
        <v>2</v>
      </c>
      <c r="F1474" s="1">
        <v>2</v>
      </c>
      <c r="G1474" s="1">
        <v>0</v>
      </c>
      <c r="H1474" s="2">
        <v>0.91658272876359637</v>
      </c>
      <c r="I1474" s="2">
        <v>2.3811968517859805</v>
      </c>
      <c r="J1474" s="3">
        <v>16221</v>
      </c>
      <c r="K1474">
        <v>9.362887596899224</v>
      </c>
      <c r="L1474">
        <v>1.88953488372093</v>
      </c>
      <c r="M1474">
        <v>94.8</v>
      </c>
    </row>
    <row r="1475" spans="1:15" x14ac:dyDescent="0.25">
      <c r="A1475" s="8" t="s">
        <v>309</v>
      </c>
      <c r="B1475" s="1" t="s">
        <v>308</v>
      </c>
      <c r="C1475" s="1">
        <v>2015</v>
      </c>
      <c r="D1475" s="1">
        <v>2</v>
      </c>
      <c r="E1475" s="1">
        <v>2</v>
      </c>
      <c r="F1475" s="1">
        <v>2</v>
      </c>
      <c r="G1475" s="1">
        <v>0</v>
      </c>
      <c r="H1475" s="2">
        <v>0.960399390130527</v>
      </c>
      <c r="I1475" s="2">
        <v>1.3365134339120772</v>
      </c>
      <c r="J1475" s="3">
        <v>16448</v>
      </c>
      <c r="K1475">
        <v>9.362887596899224</v>
      </c>
      <c r="L1475">
        <v>1.88953488372093</v>
      </c>
      <c r="M1475">
        <v>96.1</v>
      </c>
    </row>
    <row r="1476" spans="1:15" x14ac:dyDescent="0.25">
      <c r="A1476" t="s">
        <v>309</v>
      </c>
      <c r="B1476" s="1" t="s">
        <v>308</v>
      </c>
      <c r="C1476" s="1">
        <v>2016</v>
      </c>
      <c r="D1476" s="1">
        <v>2</v>
      </c>
      <c r="E1476" s="1">
        <v>2</v>
      </c>
      <c r="F1476" s="1">
        <v>2</v>
      </c>
      <c r="G1476" s="1">
        <v>0</v>
      </c>
      <c r="H1476" s="2">
        <v>1.3042209486553091</v>
      </c>
      <c r="I1476" s="2">
        <v>1.0204293096906063</v>
      </c>
      <c r="J1476" s="6">
        <v>16512</v>
      </c>
      <c r="K1476" s="7">
        <v>9.362887596899224</v>
      </c>
      <c r="L1476" s="7">
        <v>1.88953488372093</v>
      </c>
      <c r="M1476">
        <v>97.4</v>
      </c>
      <c r="O1476" s="7"/>
    </row>
    <row r="1477" spans="1:15" x14ac:dyDescent="0.25">
      <c r="A1477" t="s">
        <v>309</v>
      </c>
      <c r="B1477" s="1" t="s">
        <v>308</v>
      </c>
      <c r="C1477" s="1">
        <v>2017</v>
      </c>
      <c r="D1477" s="1">
        <v>2</v>
      </c>
      <c r="E1477" s="1">
        <v>2</v>
      </c>
      <c r="F1477" s="1">
        <v>2</v>
      </c>
      <c r="G1477" s="1">
        <v>0</v>
      </c>
      <c r="H1477" s="5">
        <v>0.77871627415386058</v>
      </c>
      <c r="I1477" s="2">
        <v>1.2404144008862676</v>
      </c>
      <c r="J1477" s="3">
        <v>16959</v>
      </c>
      <c r="K1477">
        <v>9.362887596899224</v>
      </c>
      <c r="L1477">
        <v>1.88953488372093</v>
      </c>
      <c r="M1477">
        <v>99.1</v>
      </c>
    </row>
    <row r="1478" spans="1:15" x14ac:dyDescent="0.25">
      <c r="A1478" s="8" t="s">
        <v>309</v>
      </c>
      <c r="B1478" s="1" t="s">
        <v>308</v>
      </c>
      <c r="C1478" s="1">
        <v>2018</v>
      </c>
      <c r="D1478" s="1">
        <v>2</v>
      </c>
      <c r="E1478" s="1">
        <v>2</v>
      </c>
      <c r="F1478" s="1">
        <v>2</v>
      </c>
      <c r="G1478" s="1">
        <v>0</v>
      </c>
      <c r="H1478" s="2">
        <v>1.6392827276581579</v>
      </c>
      <c r="I1478" s="2">
        <v>1.1118891520079035</v>
      </c>
      <c r="J1478" s="3">
        <v>17294</v>
      </c>
      <c r="K1478">
        <v>9.362887596899224</v>
      </c>
      <c r="L1478">
        <v>1.88953488372093</v>
      </c>
      <c r="M1478">
        <v>101</v>
      </c>
    </row>
    <row r="1479" spans="1:15" x14ac:dyDescent="0.25">
      <c r="A1479" s="8" t="s">
        <v>310</v>
      </c>
      <c r="B1479" s="1" t="s">
        <v>308</v>
      </c>
      <c r="C1479" s="1">
        <v>2014</v>
      </c>
      <c r="D1479" s="1">
        <v>3</v>
      </c>
      <c r="E1479" s="1">
        <v>3</v>
      </c>
      <c r="F1479" s="1">
        <v>3</v>
      </c>
      <c r="G1479" s="1">
        <v>0</v>
      </c>
      <c r="H1479" s="2">
        <v>1.2120565484129102</v>
      </c>
      <c r="I1479" s="2">
        <v>1.0010359666365616</v>
      </c>
      <c r="J1479" s="3">
        <v>19565</v>
      </c>
      <c r="K1479">
        <v>6.9440033873187259</v>
      </c>
      <c r="L1479">
        <v>2.8368794326241136</v>
      </c>
      <c r="M1479">
        <v>32</v>
      </c>
    </row>
    <row r="1480" spans="1:15" x14ac:dyDescent="0.25">
      <c r="A1480" s="8" t="s">
        <v>310</v>
      </c>
      <c r="B1480" s="1" t="s">
        <v>308</v>
      </c>
      <c r="C1480" s="1">
        <v>2015</v>
      </c>
      <c r="D1480" s="1">
        <v>3</v>
      </c>
      <c r="E1480" s="1">
        <v>3</v>
      </c>
      <c r="F1480" s="1">
        <v>3</v>
      </c>
      <c r="G1480" s="1">
        <v>0</v>
      </c>
      <c r="H1480" s="2">
        <v>1.1778237574260413</v>
      </c>
      <c r="I1480" s="2">
        <v>0.92036294342971248</v>
      </c>
      <c r="J1480" s="3">
        <v>19408</v>
      </c>
      <c r="K1480">
        <v>6.9440033873187259</v>
      </c>
      <c r="L1480">
        <v>2.8368794326241136</v>
      </c>
      <c r="M1480">
        <v>31.8</v>
      </c>
    </row>
    <row r="1481" spans="1:15" x14ac:dyDescent="0.25">
      <c r="A1481" t="s">
        <v>310</v>
      </c>
      <c r="B1481" s="1" t="s">
        <v>308</v>
      </c>
      <c r="C1481" s="1">
        <v>2016</v>
      </c>
      <c r="D1481" s="1">
        <v>3</v>
      </c>
      <c r="E1481" s="1">
        <v>3</v>
      </c>
      <c r="F1481" s="1">
        <v>3</v>
      </c>
      <c r="G1481" s="1">
        <v>0</v>
      </c>
      <c r="H1481" s="2">
        <v>2.2541989679763539</v>
      </c>
      <c r="I1481" s="2">
        <v>1.8108457114595939</v>
      </c>
      <c r="J1481" s="6">
        <v>18894</v>
      </c>
      <c r="K1481" s="7">
        <v>6.9440033873187259</v>
      </c>
      <c r="L1481" s="7">
        <v>2.8368794326241136</v>
      </c>
      <c r="M1481">
        <v>31.5</v>
      </c>
      <c r="O1481" s="7"/>
    </row>
    <row r="1482" spans="1:15" x14ac:dyDescent="0.25">
      <c r="A1482" t="s">
        <v>310</v>
      </c>
      <c r="B1482" s="1" t="s">
        <v>308</v>
      </c>
      <c r="C1482" s="1">
        <v>2017</v>
      </c>
      <c r="D1482" s="1">
        <v>3</v>
      </c>
      <c r="E1482" s="1">
        <v>3</v>
      </c>
      <c r="F1482" s="1">
        <v>3</v>
      </c>
      <c r="G1482" s="1">
        <v>0</v>
      </c>
      <c r="H1482" s="5">
        <v>1.5797045630585762</v>
      </c>
      <c r="I1482" s="2">
        <v>0.95188598320895834</v>
      </c>
      <c r="J1482" s="3">
        <v>19213</v>
      </c>
      <c r="K1482">
        <v>6.9440033873187259</v>
      </c>
      <c r="L1482">
        <v>2.8368794326241136</v>
      </c>
      <c r="M1482">
        <v>31.4</v>
      </c>
    </row>
    <row r="1483" spans="1:15" x14ac:dyDescent="0.25">
      <c r="A1483" s="8" t="s">
        <v>310</v>
      </c>
      <c r="B1483" s="1" t="s">
        <v>308</v>
      </c>
      <c r="C1483" s="1">
        <v>2018</v>
      </c>
      <c r="D1483" s="1">
        <v>3</v>
      </c>
      <c r="E1483" s="1">
        <v>3</v>
      </c>
      <c r="F1483" s="1">
        <v>3</v>
      </c>
      <c r="G1483" s="1">
        <v>0</v>
      </c>
      <c r="H1483" s="2">
        <v>1.2347259382506015</v>
      </c>
      <c r="I1483" s="2">
        <v>1.0911026607589447</v>
      </c>
      <c r="J1483" s="3">
        <v>19348</v>
      </c>
      <c r="K1483">
        <v>6.9440033873187259</v>
      </c>
      <c r="L1483">
        <v>2.8368794326241136</v>
      </c>
      <c r="M1483">
        <v>31.7</v>
      </c>
    </row>
    <row r="1484" spans="1:15" x14ac:dyDescent="0.25">
      <c r="A1484" s="8" t="s">
        <v>36</v>
      </c>
      <c r="B1484" s="1" t="s">
        <v>308</v>
      </c>
      <c r="C1484" s="1">
        <v>2014</v>
      </c>
      <c r="D1484" s="1">
        <v>3</v>
      </c>
      <c r="E1484" s="1">
        <v>3</v>
      </c>
      <c r="F1484" s="1">
        <v>3</v>
      </c>
      <c r="G1484" s="1">
        <v>0</v>
      </c>
      <c r="H1484" s="2">
        <v>1.2303597924183549</v>
      </c>
      <c r="I1484" s="2">
        <v>2.0080693829565717</v>
      </c>
      <c r="J1484" s="3">
        <v>21989</v>
      </c>
      <c r="K1484">
        <v>6.937552663608276</v>
      </c>
      <c r="L1484">
        <v>1.6711918359704148</v>
      </c>
      <c r="M1484">
        <v>23.6</v>
      </c>
    </row>
    <row r="1485" spans="1:15" x14ac:dyDescent="0.25">
      <c r="A1485" s="8" t="s">
        <v>36</v>
      </c>
      <c r="B1485" s="1" t="s">
        <v>308</v>
      </c>
      <c r="C1485" s="1">
        <v>2015</v>
      </c>
      <c r="D1485" s="1">
        <v>3</v>
      </c>
      <c r="E1485" s="1">
        <v>3</v>
      </c>
      <c r="F1485" s="1">
        <v>3</v>
      </c>
      <c r="G1485" s="1">
        <v>0</v>
      </c>
      <c r="H1485" s="2">
        <v>1.0398176760982849</v>
      </c>
      <c r="I1485" s="2">
        <v>1.2077329110603323</v>
      </c>
      <c r="J1485" s="3">
        <v>21847</v>
      </c>
      <c r="K1485">
        <v>6.937552663608276</v>
      </c>
      <c r="L1485">
        <v>1.6711918359704148</v>
      </c>
      <c r="M1485">
        <v>23.4</v>
      </c>
    </row>
    <row r="1486" spans="1:15" x14ac:dyDescent="0.25">
      <c r="A1486" t="s">
        <v>36</v>
      </c>
      <c r="B1486" s="1" t="s">
        <v>308</v>
      </c>
      <c r="C1486" s="1">
        <v>2016</v>
      </c>
      <c r="D1486" s="1">
        <v>3</v>
      </c>
      <c r="E1486" s="1">
        <v>3</v>
      </c>
      <c r="F1486" s="1">
        <v>3</v>
      </c>
      <c r="G1486" s="1">
        <v>0</v>
      </c>
      <c r="H1486" s="2">
        <v>1.2266036238125391</v>
      </c>
      <c r="I1486" s="2">
        <v>1.0093652385567642</v>
      </c>
      <c r="J1486" s="6">
        <v>21362</v>
      </c>
      <c r="K1486" s="7">
        <v>6.937552663608276</v>
      </c>
      <c r="L1486" s="7">
        <v>1.6711918359704148</v>
      </c>
      <c r="M1486">
        <v>23.3</v>
      </c>
      <c r="O1486" s="7"/>
    </row>
    <row r="1487" spans="1:15" x14ac:dyDescent="0.25">
      <c r="A1487" t="s">
        <v>36</v>
      </c>
      <c r="B1487" s="1" t="s">
        <v>308</v>
      </c>
      <c r="C1487" s="1">
        <v>2017</v>
      </c>
      <c r="D1487" s="1">
        <v>3</v>
      </c>
      <c r="E1487" s="1">
        <v>3</v>
      </c>
      <c r="F1487" s="1">
        <v>3</v>
      </c>
      <c r="G1487" s="1">
        <v>0</v>
      </c>
      <c r="H1487" s="5">
        <v>1.8991180088178143</v>
      </c>
      <c r="I1487" s="2">
        <v>1.2937699737116488</v>
      </c>
      <c r="J1487" s="3">
        <v>21835</v>
      </c>
      <c r="K1487">
        <v>6.937552663608276</v>
      </c>
      <c r="L1487">
        <v>1.6711918359704148</v>
      </c>
      <c r="M1487">
        <v>23.4</v>
      </c>
    </row>
    <row r="1488" spans="1:15" x14ac:dyDescent="0.25">
      <c r="A1488" s="8" t="s">
        <v>36</v>
      </c>
      <c r="B1488" s="1" t="s">
        <v>308</v>
      </c>
      <c r="C1488" s="1">
        <v>2018</v>
      </c>
      <c r="D1488" s="1">
        <v>3</v>
      </c>
      <c r="E1488" s="1">
        <v>3</v>
      </c>
      <c r="F1488" s="1">
        <v>3</v>
      </c>
      <c r="G1488" s="1">
        <v>0</v>
      </c>
      <c r="H1488" s="2">
        <v>2.5313713635776569</v>
      </c>
      <c r="I1488" s="2">
        <v>1.6722459040112865</v>
      </c>
      <c r="J1488" s="3">
        <v>21904</v>
      </c>
      <c r="K1488">
        <v>6.937552663608276</v>
      </c>
      <c r="L1488">
        <v>1.6711918359704148</v>
      </c>
      <c r="M1488">
        <v>23.5</v>
      </c>
    </row>
    <row r="1489" spans="1:15" x14ac:dyDescent="0.25">
      <c r="A1489" s="8" t="s">
        <v>173</v>
      </c>
      <c r="B1489" s="1" t="s">
        <v>308</v>
      </c>
      <c r="C1489" s="1">
        <v>2014</v>
      </c>
      <c r="D1489" s="1">
        <v>3</v>
      </c>
      <c r="E1489" s="1">
        <v>4</v>
      </c>
      <c r="F1489" s="1">
        <v>3.5</v>
      </c>
      <c r="G1489" s="1">
        <v>1</v>
      </c>
      <c r="H1489" s="2">
        <v>1.3965821649060426</v>
      </c>
      <c r="I1489" s="2">
        <v>0.8052475227634559</v>
      </c>
      <c r="J1489" s="3">
        <v>2239</v>
      </c>
      <c r="K1489">
        <v>5.5477855477855478</v>
      </c>
      <c r="L1489">
        <v>0.69930069930069927</v>
      </c>
      <c r="M1489">
        <v>0.3</v>
      </c>
    </row>
    <row r="1490" spans="1:15" x14ac:dyDescent="0.25">
      <c r="A1490" s="8" t="s">
        <v>173</v>
      </c>
      <c r="B1490" s="1" t="s">
        <v>308</v>
      </c>
      <c r="C1490" s="1">
        <v>2015</v>
      </c>
      <c r="D1490" s="1">
        <v>3</v>
      </c>
      <c r="E1490" s="1">
        <v>4</v>
      </c>
      <c r="F1490" s="1">
        <v>3.5</v>
      </c>
      <c r="G1490" s="1">
        <v>1</v>
      </c>
      <c r="H1490" s="2">
        <v>1.0341662909313016</v>
      </c>
      <c r="I1490" s="2">
        <v>1.2056105889258195</v>
      </c>
      <c r="J1490" s="3">
        <v>2203</v>
      </c>
      <c r="K1490">
        <v>5.5477855477855478</v>
      </c>
      <c r="L1490">
        <v>0.69930069930069927</v>
      </c>
      <c r="M1490">
        <v>0.3</v>
      </c>
    </row>
    <row r="1491" spans="1:15" x14ac:dyDescent="0.25">
      <c r="A1491" t="s">
        <v>173</v>
      </c>
      <c r="B1491" s="1" t="s">
        <v>308</v>
      </c>
      <c r="C1491" s="1">
        <v>2016</v>
      </c>
      <c r="D1491" s="1">
        <v>3</v>
      </c>
      <c r="E1491" s="1">
        <v>4</v>
      </c>
      <c r="F1491" s="1">
        <v>3.5</v>
      </c>
      <c r="G1491" s="1">
        <v>1</v>
      </c>
      <c r="H1491" s="2">
        <v>1.1583757443778733</v>
      </c>
      <c r="I1491" s="2">
        <v>1.2115764469719106</v>
      </c>
      <c r="J1491" s="6">
        <v>2145</v>
      </c>
      <c r="K1491" s="7">
        <v>5.5477855477855478</v>
      </c>
      <c r="L1491" s="7">
        <v>0.69930069930069927</v>
      </c>
      <c r="M1491">
        <v>0.3</v>
      </c>
      <c r="O1491" s="7"/>
    </row>
    <row r="1492" spans="1:15" x14ac:dyDescent="0.25">
      <c r="A1492" t="s">
        <v>173</v>
      </c>
      <c r="B1492" s="1" t="s">
        <v>308</v>
      </c>
      <c r="C1492" s="1">
        <v>2017</v>
      </c>
      <c r="D1492" s="1">
        <v>3</v>
      </c>
      <c r="E1492" s="1">
        <v>4</v>
      </c>
      <c r="F1492" s="1">
        <v>3.5</v>
      </c>
      <c r="G1492" s="1">
        <v>1</v>
      </c>
      <c r="H1492" s="5">
        <v>1.3092766403901774</v>
      </c>
      <c r="I1492" s="2">
        <v>1.427956271244242</v>
      </c>
      <c r="J1492" s="3">
        <v>2148</v>
      </c>
      <c r="K1492">
        <v>5.5477855477855478</v>
      </c>
      <c r="L1492">
        <v>0.69930069930069927</v>
      </c>
      <c r="M1492">
        <v>0.3</v>
      </c>
    </row>
    <row r="1493" spans="1:15" x14ac:dyDescent="0.25">
      <c r="A1493" s="8" t="s">
        <v>173</v>
      </c>
      <c r="B1493" s="1" t="s">
        <v>308</v>
      </c>
      <c r="C1493" s="1">
        <v>2018</v>
      </c>
      <c r="D1493" s="1">
        <v>3</v>
      </c>
      <c r="E1493" s="1">
        <v>4</v>
      </c>
      <c r="F1493" s="1">
        <v>3.5</v>
      </c>
      <c r="G1493" s="1">
        <v>1</v>
      </c>
      <c r="H1493" s="2">
        <v>1.2878144135836576</v>
      </c>
      <c r="I1493" s="2">
        <v>1.1022451219598692</v>
      </c>
      <c r="J1493" s="3">
        <v>2144</v>
      </c>
      <c r="K1493">
        <v>5.5477855477855478</v>
      </c>
      <c r="L1493">
        <v>0.69930069930069927</v>
      </c>
      <c r="M1493">
        <v>0.3</v>
      </c>
    </row>
    <row r="1494" spans="1:15" x14ac:dyDescent="0.25">
      <c r="A1494" s="8" t="s">
        <v>311</v>
      </c>
      <c r="B1494" s="1" t="s">
        <v>308</v>
      </c>
      <c r="C1494" s="1">
        <v>2014</v>
      </c>
      <c r="D1494" s="1">
        <v>3</v>
      </c>
      <c r="E1494" s="1">
        <v>4</v>
      </c>
      <c r="F1494" s="1">
        <v>3.5</v>
      </c>
      <c r="G1494" s="1">
        <v>1</v>
      </c>
      <c r="H1494" s="2">
        <v>1.3186056987567039</v>
      </c>
      <c r="I1494" s="2">
        <v>0.79415253777215011</v>
      </c>
      <c r="J1494" s="3">
        <v>8204</v>
      </c>
      <c r="K1494">
        <v>15.732323232323234</v>
      </c>
      <c r="L1494">
        <v>2.1843434343434343</v>
      </c>
      <c r="M1494">
        <v>1.7</v>
      </c>
    </row>
    <row r="1495" spans="1:15" x14ac:dyDescent="0.25">
      <c r="A1495" s="8" t="s">
        <v>311</v>
      </c>
      <c r="B1495" s="1" t="s">
        <v>308</v>
      </c>
      <c r="C1495" s="1">
        <v>2015</v>
      </c>
      <c r="D1495" s="1">
        <v>3</v>
      </c>
      <c r="E1495" s="1">
        <v>4</v>
      </c>
      <c r="F1495" s="1">
        <v>3.5</v>
      </c>
      <c r="G1495" s="1">
        <v>1</v>
      </c>
      <c r="H1495" s="2">
        <v>1.3022169079871173</v>
      </c>
      <c r="I1495" s="2">
        <v>2.981538268042677</v>
      </c>
      <c r="J1495" s="3">
        <v>8142</v>
      </c>
      <c r="K1495">
        <v>15.732323232323234</v>
      </c>
      <c r="L1495">
        <v>2.1843434343434343</v>
      </c>
      <c r="M1495">
        <v>1.7</v>
      </c>
    </row>
    <row r="1496" spans="1:15" x14ac:dyDescent="0.25">
      <c r="A1496" t="s">
        <v>311</v>
      </c>
      <c r="B1496" s="1" t="s">
        <v>308</v>
      </c>
      <c r="C1496" s="1">
        <v>2016</v>
      </c>
      <c r="D1496" s="1">
        <v>3</v>
      </c>
      <c r="E1496" s="1">
        <v>4</v>
      </c>
      <c r="F1496" s="1">
        <v>3.5</v>
      </c>
      <c r="G1496" s="1">
        <v>1</v>
      </c>
      <c r="H1496" s="2">
        <v>1.1914130636809155</v>
      </c>
      <c r="I1496" s="2">
        <v>1.6007249869162188</v>
      </c>
      <c r="J1496" s="6">
        <v>7920</v>
      </c>
      <c r="K1496" s="7">
        <v>15.732323232323234</v>
      </c>
      <c r="L1496" s="7">
        <v>2.1843434343434343</v>
      </c>
      <c r="M1496">
        <v>1.7</v>
      </c>
      <c r="O1496" s="7"/>
    </row>
    <row r="1497" spans="1:15" x14ac:dyDescent="0.25">
      <c r="A1497" t="s">
        <v>311</v>
      </c>
      <c r="B1497" s="1" t="s">
        <v>308</v>
      </c>
      <c r="C1497" s="1">
        <v>2017</v>
      </c>
      <c r="D1497" s="1">
        <v>3</v>
      </c>
      <c r="E1497" s="1">
        <v>4</v>
      </c>
      <c r="F1497" s="1">
        <v>3.5</v>
      </c>
      <c r="G1497" s="1">
        <v>1</v>
      </c>
      <c r="H1497" s="5">
        <v>1.2309856380055797</v>
      </c>
      <c r="I1497" s="2">
        <v>1.2714294238787502</v>
      </c>
      <c r="J1497" s="3">
        <v>8090</v>
      </c>
      <c r="K1497">
        <v>15.732323232323234</v>
      </c>
      <c r="L1497">
        <v>2.1843434343434343</v>
      </c>
      <c r="M1497">
        <v>1.7</v>
      </c>
    </row>
    <row r="1498" spans="1:15" x14ac:dyDescent="0.25">
      <c r="A1498" s="8" t="s">
        <v>311</v>
      </c>
      <c r="B1498" s="1" t="s">
        <v>308</v>
      </c>
      <c r="C1498" s="1">
        <v>2018</v>
      </c>
      <c r="D1498" s="1">
        <v>3</v>
      </c>
      <c r="E1498" s="1">
        <v>4</v>
      </c>
      <c r="F1498" s="1">
        <v>3.5</v>
      </c>
      <c r="G1498" s="1">
        <v>1</v>
      </c>
      <c r="H1498" s="2">
        <v>2.0833034457438804</v>
      </c>
      <c r="I1498" s="2">
        <v>1.2171992495540613</v>
      </c>
      <c r="J1498" s="3">
        <v>8066</v>
      </c>
      <c r="K1498">
        <v>15.732323232323234</v>
      </c>
      <c r="L1498">
        <v>2.1843434343434343</v>
      </c>
      <c r="M1498">
        <v>1.6</v>
      </c>
    </row>
    <row r="1499" spans="1:15" x14ac:dyDescent="0.25">
      <c r="A1499" s="8" t="s">
        <v>312</v>
      </c>
      <c r="B1499" s="1" t="s">
        <v>308</v>
      </c>
      <c r="C1499" s="1">
        <v>2014</v>
      </c>
      <c r="D1499" s="1">
        <v>2</v>
      </c>
      <c r="E1499" s="1">
        <v>3</v>
      </c>
      <c r="F1499" s="1">
        <v>2.5</v>
      </c>
      <c r="G1499" s="1">
        <v>1</v>
      </c>
      <c r="H1499" s="2">
        <v>1.3098569764578085</v>
      </c>
      <c r="I1499" s="2">
        <v>1.0838433780459145</v>
      </c>
      <c r="J1499" s="3">
        <v>54219</v>
      </c>
      <c r="K1499">
        <v>3.5316866722609364</v>
      </c>
      <c r="L1499">
        <v>4.044292020869058</v>
      </c>
      <c r="M1499">
        <v>143.5</v>
      </c>
    </row>
    <row r="1500" spans="1:15" x14ac:dyDescent="0.25">
      <c r="A1500" s="8" t="s">
        <v>312</v>
      </c>
      <c r="B1500" s="1" t="s">
        <v>308</v>
      </c>
      <c r="C1500" s="1">
        <v>2015</v>
      </c>
      <c r="D1500" s="1">
        <v>2</v>
      </c>
      <c r="E1500" s="1">
        <v>3</v>
      </c>
      <c r="F1500" s="1">
        <v>2.5</v>
      </c>
      <c r="G1500" s="1">
        <v>1</v>
      </c>
      <c r="H1500" s="2">
        <v>1.6261480910629218</v>
      </c>
      <c r="I1500" s="2">
        <v>3.0793610350858995</v>
      </c>
      <c r="J1500" s="3">
        <v>54829</v>
      </c>
      <c r="K1500">
        <v>3.5316866722609364</v>
      </c>
      <c r="L1500">
        <v>4.044292020869058</v>
      </c>
      <c r="M1500">
        <v>145.1</v>
      </c>
    </row>
    <row r="1501" spans="1:15" x14ac:dyDescent="0.25">
      <c r="A1501" t="s">
        <v>312</v>
      </c>
      <c r="B1501" s="1" t="s">
        <v>308</v>
      </c>
      <c r="C1501" s="1">
        <v>2016</v>
      </c>
      <c r="D1501" s="1">
        <v>2</v>
      </c>
      <c r="E1501" s="1">
        <v>3</v>
      </c>
      <c r="F1501" s="1">
        <v>2.5</v>
      </c>
      <c r="G1501" s="1">
        <v>1</v>
      </c>
      <c r="H1501" s="2">
        <v>1.6702044929226032</v>
      </c>
      <c r="I1501" s="2">
        <v>1.2582880661735956</v>
      </c>
      <c r="J1501" s="6">
        <v>54818</v>
      </c>
      <c r="K1501" s="7">
        <v>3.5316866722609364</v>
      </c>
      <c r="L1501" s="7">
        <v>4.044292020869058</v>
      </c>
      <c r="M1501">
        <v>146.80000000000001</v>
      </c>
      <c r="O1501" s="7"/>
    </row>
    <row r="1502" spans="1:15" x14ac:dyDescent="0.25">
      <c r="A1502" t="s">
        <v>312</v>
      </c>
      <c r="B1502" s="1" t="s">
        <v>308</v>
      </c>
      <c r="C1502" s="1">
        <v>2017</v>
      </c>
      <c r="D1502" s="1">
        <v>2</v>
      </c>
      <c r="E1502" s="1">
        <v>3</v>
      </c>
      <c r="F1502" s="1">
        <v>2.5</v>
      </c>
      <c r="G1502" s="1">
        <v>1</v>
      </c>
      <c r="H1502" s="5">
        <v>1.5852687338625664</v>
      </c>
      <c r="I1502" s="2">
        <v>1.292286654783702</v>
      </c>
      <c r="J1502" s="3">
        <v>56166</v>
      </c>
      <c r="K1502">
        <v>3.5316866722609364</v>
      </c>
      <c r="L1502">
        <v>4.044292020869058</v>
      </c>
      <c r="M1502">
        <v>148.6</v>
      </c>
    </row>
    <row r="1503" spans="1:15" x14ac:dyDescent="0.25">
      <c r="A1503" s="8" t="s">
        <v>312</v>
      </c>
      <c r="B1503" s="1" t="s">
        <v>308</v>
      </c>
      <c r="C1503" s="1">
        <v>2018</v>
      </c>
      <c r="D1503" s="1">
        <v>2</v>
      </c>
      <c r="E1503" s="1">
        <v>3</v>
      </c>
      <c r="F1503" s="1">
        <v>2.5</v>
      </c>
      <c r="G1503" s="1">
        <v>1</v>
      </c>
      <c r="H1503" s="2">
        <v>1.5768695161791499</v>
      </c>
      <c r="I1503" s="2">
        <v>1.3633697976259582</v>
      </c>
      <c r="J1503" s="3">
        <v>56945</v>
      </c>
      <c r="K1503">
        <v>3.5316866722609364</v>
      </c>
      <c r="L1503">
        <v>4.044292020869058</v>
      </c>
      <c r="M1503">
        <v>150.69999999999999</v>
      </c>
    </row>
    <row r="1504" spans="1:15" x14ac:dyDescent="0.25">
      <c r="A1504" s="8" t="s">
        <v>313</v>
      </c>
      <c r="B1504" s="1" t="s">
        <v>308</v>
      </c>
      <c r="C1504" s="1">
        <v>2014</v>
      </c>
      <c r="D1504" s="9">
        <v>2</v>
      </c>
      <c r="E1504" s="9">
        <v>4</v>
      </c>
      <c r="F1504" s="9">
        <v>3</v>
      </c>
      <c r="G1504" s="1">
        <v>2</v>
      </c>
      <c r="H1504" s="2">
        <v>1.7020617281688593</v>
      </c>
      <c r="I1504" s="2">
        <v>1.0554727652256624</v>
      </c>
      <c r="J1504" s="3">
        <v>10013</v>
      </c>
      <c r="K1504">
        <v>4.6896826980642583</v>
      </c>
      <c r="L1504">
        <v>1.5366194372380764</v>
      </c>
      <c r="M1504">
        <v>2.4</v>
      </c>
    </row>
    <row r="1505" spans="1:15" x14ac:dyDescent="0.25">
      <c r="A1505" s="8" t="s">
        <v>313</v>
      </c>
      <c r="B1505" s="1" t="s">
        <v>308</v>
      </c>
      <c r="C1505" s="1">
        <v>2015</v>
      </c>
      <c r="D1505" s="9">
        <v>2</v>
      </c>
      <c r="E1505" s="9">
        <v>4</v>
      </c>
      <c r="F1505" s="9">
        <v>3</v>
      </c>
      <c r="G1505" s="1">
        <v>2</v>
      </c>
      <c r="H1505" s="2">
        <v>1.9511391104989826</v>
      </c>
      <c r="I1505" s="2">
        <v>1.1182485656608676</v>
      </c>
      <c r="J1505" s="3">
        <v>10048</v>
      </c>
      <c r="K1505">
        <v>4.6896826980642583</v>
      </c>
      <c r="L1505">
        <v>1.5366194372380764</v>
      </c>
      <c r="M1505">
        <v>2.4</v>
      </c>
    </row>
    <row r="1506" spans="1:15" x14ac:dyDescent="0.25">
      <c r="A1506" s="10" t="s">
        <v>313</v>
      </c>
      <c r="B1506" s="9" t="s">
        <v>308</v>
      </c>
      <c r="C1506" s="1">
        <v>2016</v>
      </c>
      <c r="D1506" s="9">
        <v>2</v>
      </c>
      <c r="E1506" s="9">
        <v>4</v>
      </c>
      <c r="F1506" s="9">
        <v>3</v>
      </c>
      <c r="G1506" s="1">
        <v>2</v>
      </c>
      <c r="H1506" s="2">
        <v>0.77155804355591862</v>
      </c>
      <c r="I1506" s="2">
        <v>0.9685560701331164</v>
      </c>
      <c r="J1506" s="6">
        <v>10022</v>
      </c>
      <c r="K1506" s="7">
        <v>4.6896826980642583</v>
      </c>
      <c r="L1506" s="7">
        <v>1.5366194372380764</v>
      </c>
      <c r="M1506">
        <v>2.5</v>
      </c>
      <c r="O1506" s="7"/>
    </row>
    <row r="1507" spans="1:15" x14ac:dyDescent="0.25">
      <c r="A1507" s="10" t="s">
        <v>313</v>
      </c>
      <c r="B1507" s="9" t="s">
        <v>308</v>
      </c>
      <c r="C1507" s="1">
        <v>2017</v>
      </c>
      <c r="D1507" s="9">
        <v>2</v>
      </c>
      <c r="E1507" s="9">
        <v>4</v>
      </c>
      <c r="F1507" s="9">
        <v>3</v>
      </c>
      <c r="G1507" s="1">
        <v>2</v>
      </c>
      <c r="H1507" s="5">
        <v>0.97168395028848309</v>
      </c>
      <c r="I1507" s="2">
        <v>1.2362432743106617</v>
      </c>
      <c r="J1507" s="3">
        <v>10169</v>
      </c>
      <c r="K1507">
        <v>4.6896826980642583</v>
      </c>
      <c r="L1507">
        <v>1.5366194372380764</v>
      </c>
      <c r="M1507">
        <v>2.5</v>
      </c>
    </row>
    <row r="1508" spans="1:15" x14ac:dyDescent="0.25">
      <c r="A1508" s="8" t="s">
        <v>313</v>
      </c>
      <c r="B1508" s="1" t="s">
        <v>308</v>
      </c>
      <c r="C1508" s="1">
        <v>2018</v>
      </c>
      <c r="D1508" s="9">
        <v>2</v>
      </c>
      <c r="E1508" s="9">
        <v>4</v>
      </c>
      <c r="F1508" s="9">
        <v>3</v>
      </c>
      <c r="G1508" s="1">
        <v>2</v>
      </c>
      <c r="H1508" s="2">
        <v>1.1579226790143899</v>
      </c>
      <c r="I1508" s="2">
        <v>1.3612266673647146</v>
      </c>
      <c r="J1508" s="3">
        <v>10290</v>
      </c>
      <c r="K1508">
        <v>4.6896826980642583</v>
      </c>
      <c r="L1508">
        <v>1.5366194372380764</v>
      </c>
      <c r="M1508">
        <v>2.5</v>
      </c>
    </row>
    <row r="1509" spans="1:15" x14ac:dyDescent="0.25">
      <c r="A1509" s="8" t="s">
        <v>314</v>
      </c>
      <c r="B1509" s="1" t="s">
        <v>308</v>
      </c>
      <c r="C1509" s="1">
        <v>2014</v>
      </c>
      <c r="D1509" s="1">
        <v>2</v>
      </c>
      <c r="E1509" s="1">
        <v>3</v>
      </c>
      <c r="F1509" s="1">
        <v>2.5</v>
      </c>
      <c r="G1509" s="1">
        <v>1</v>
      </c>
      <c r="H1509" s="2">
        <v>2.1357945084861045</v>
      </c>
      <c r="I1509" s="2">
        <v>1.0995057621706474</v>
      </c>
      <c r="J1509" s="3">
        <v>25295</v>
      </c>
      <c r="K1509">
        <v>6.3719536879604899</v>
      </c>
      <c r="L1509">
        <v>2.9754675734758318</v>
      </c>
      <c r="M1509">
        <v>227.4</v>
      </c>
    </row>
    <row r="1510" spans="1:15" x14ac:dyDescent="0.25">
      <c r="A1510" s="8" t="s">
        <v>314</v>
      </c>
      <c r="B1510" s="1" t="s">
        <v>308</v>
      </c>
      <c r="C1510" s="1">
        <v>2015</v>
      </c>
      <c r="D1510" s="1">
        <v>2</v>
      </c>
      <c r="E1510" s="1">
        <v>3</v>
      </c>
      <c r="F1510" s="1">
        <v>2.5</v>
      </c>
      <c r="G1510" s="1">
        <v>1</v>
      </c>
      <c r="H1510" s="2">
        <v>0.80297148611534663</v>
      </c>
      <c r="I1510" s="2">
        <v>1.2199002623027517</v>
      </c>
      <c r="J1510" s="3">
        <v>25162</v>
      </c>
      <c r="K1510">
        <v>6.3719536879604899</v>
      </c>
      <c r="L1510">
        <v>2.9754675734758318</v>
      </c>
      <c r="M1510">
        <v>226.2</v>
      </c>
    </row>
    <row r="1511" spans="1:15" x14ac:dyDescent="0.25">
      <c r="A1511" t="s">
        <v>314</v>
      </c>
      <c r="B1511" s="1" t="s">
        <v>308</v>
      </c>
      <c r="C1511" s="1">
        <v>2016</v>
      </c>
      <c r="D1511" s="1">
        <v>2</v>
      </c>
      <c r="E1511" s="1">
        <v>3</v>
      </c>
      <c r="F1511" s="1">
        <v>2.5</v>
      </c>
      <c r="G1511" s="1">
        <v>1</v>
      </c>
      <c r="H1511" s="2">
        <v>1.3872128352320445</v>
      </c>
      <c r="I1511" s="2">
        <v>1.0727920863409159</v>
      </c>
      <c r="J1511" s="6">
        <v>24702</v>
      </c>
      <c r="K1511" s="7">
        <v>6.3719536879604899</v>
      </c>
      <c r="L1511" s="7">
        <v>2.9754675734758318</v>
      </c>
      <c r="M1511">
        <v>225.9</v>
      </c>
      <c r="O1511" s="7"/>
    </row>
    <row r="1512" spans="1:15" x14ac:dyDescent="0.25">
      <c r="A1512" t="s">
        <v>314</v>
      </c>
      <c r="B1512" s="1" t="s">
        <v>308</v>
      </c>
      <c r="C1512" s="1">
        <v>2017</v>
      </c>
      <c r="D1512" s="1">
        <v>2</v>
      </c>
      <c r="E1512" s="1">
        <v>3</v>
      </c>
      <c r="F1512" s="1">
        <v>2.5</v>
      </c>
      <c r="G1512" s="1">
        <v>1</v>
      </c>
      <c r="H1512" s="5">
        <v>3.4111828570788716</v>
      </c>
      <c r="I1512" s="2">
        <v>1.2126218742313748</v>
      </c>
      <c r="J1512" s="3">
        <v>25217</v>
      </c>
      <c r="K1512">
        <v>6.3719536879604899</v>
      </c>
      <c r="L1512">
        <v>2.9754675734758318</v>
      </c>
      <c r="M1512">
        <v>226.7</v>
      </c>
    </row>
    <row r="1513" spans="1:15" x14ac:dyDescent="0.25">
      <c r="A1513" s="8" t="s">
        <v>314</v>
      </c>
      <c r="B1513" s="1" t="s">
        <v>308</v>
      </c>
      <c r="C1513" s="1">
        <v>2018</v>
      </c>
      <c r="D1513" s="1">
        <v>2</v>
      </c>
      <c r="E1513" s="1">
        <v>3</v>
      </c>
      <c r="F1513" s="1">
        <v>2.5</v>
      </c>
      <c r="G1513" s="1">
        <v>1</v>
      </c>
      <c r="H1513" s="2">
        <v>5.4456837191893515</v>
      </c>
      <c r="I1513" s="2">
        <v>1.2825127407004171</v>
      </c>
      <c r="J1513" s="3">
        <v>25415</v>
      </c>
      <c r="K1513">
        <v>6.3719536879604899</v>
      </c>
      <c r="L1513">
        <v>2.9754675734758318</v>
      </c>
      <c r="M1513">
        <v>228.4</v>
      </c>
    </row>
    <row r="1514" spans="1:15" x14ac:dyDescent="0.25">
      <c r="A1514" s="8" t="s">
        <v>315</v>
      </c>
      <c r="B1514" s="1" t="s">
        <v>308</v>
      </c>
      <c r="C1514" s="1">
        <v>2014</v>
      </c>
      <c r="D1514" s="1">
        <v>3</v>
      </c>
      <c r="E1514" s="1">
        <v>4</v>
      </c>
      <c r="F1514" s="1">
        <v>3.5</v>
      </c>
      <c r="G1514" s="1">
        <v>1</v>
      </c>
      <c r="H1514" s="2">
        <v>1.6239795918367348</v>
      </c>
      <c r="I1514" s="2">
        <v>0.96058875573071667</v>
      </c>
      <c r="J1514" s="3">
        <v>6920</v>
      </c>
      <c r="K1514">
        <v>2.8252001812962684</v>
      </c>
      <c r="L1514">
        <v>1.7676386161051518</v>
      </c>
      <c r="M1514">
        <v>2.1</v>
      </c>
    </row>
    <row r="1515" spans="1:15" x14ac:dyDescent="0.25">
      <c r="A1515" s="8" t="s">
        <v>315</v>
      </c>
      <c r="B1515" s="1" t="s">
        <v>308</v>
      </c>
      <c r="C1515" s="1">
        <v>2015</v>
      </c>
      <c r="D1515" s="1">
        <v>3</v>
      </c>
      <c r="E1515" s="1">
        <v>4</v>
      </c>
      <c r="F1515" s="1">
        <v>3.5</v>
      </c>
      <c r="G1515" s="1">
        <v>1</v>
      </c>
      <c r="H1515" s="2">
        <v>2.1936363636363638</v>
      </c>
      <c r="I1515" s="2">
        <v>2.7306603342771028</v>
      </c>
      <c r="J1515" s="3">
        <v>6816</v>
      </c>
      <c r="K1515">
        <v>2.8252001812962684</v>
      </c>
      <c r="L1515">
        <v>1.7676386161051518</v>
      </c>
      <c r="M1515">
        <v>2.1</v>
      </c>
    </row>
    <row r="1516" spans="1:15" x14ac:dyDescent="0.25">
      <c r="A1516" t="s">
        <v>315</v>
      </c>
      <c r="B1516" s="1" t="s">
        <v>308</v>
      </c>
      <c r="C1516" s="1">
        <v>2016</v>
      </c>
      <c r="D1516" s="1">
        <v>3</v>
      </c>
      <c r="E1516" s="1">
        <v>4</v>
      </c>
      <c r="F1516" s="1">
        <v>3.5</v>
      </c>
      <c r="G1516" s="1">
        <v>1</v>
      </c>
      <c r="H1516" s="2">
        <v>2.5516800000000002</v>
      </c>
      <c r="I1516" s="2">
        <v>-0.59836141886230332</v>
      </c>
      <c r="J1516" s="6">
        <v>6619</v>
      </c>
      <c r="K1516" s="7">
        <v>2.8252001812962684</v>
      </c>
      <c r="L1516" s="7">
        <v>1.7676386161051518</v>
      </c>
      <c r="M1516">
        <v>2.1</v>
      </c>
      <c r="O1516" s="7"/>
    </row>
    <row r="1517" spans="1:15" x14ac:dyDescent="0.25">
      <c r="A1517" t="s">
        <v>315</v>
      </c>
      <c r="B1517" s="1" t="s">
        <v>308</v>
      </c>
      <c r="C1517" s="1">
        <v>2017</v>
      </c>
      <c r="D1517" s="1">
        <v>3</v>
      </c>
      <c r="E1517" s="1">
        <v>4</v>
      </c>
      <c r="F1517" s="1">
        <v>3.5</v>
      </c>
      <c r="G1517" s="1">
        <v>1</v>
      </c>
      <c r="H1517" s="5">
        <v>2.4152259629966637</v>
      </c>
      <c r="I1517" s="2">
        <v>1.4680073126142597</v>
      </c>
      <c r="J1517" s="3">
        <v>6704</v>
      </c>
      <c r="K1517">
        <v>2.8252001812962684</v>
      </c>
      <c r="L1517">
        <v>1.7676386161051518</v>
      </c>
      <c r="M1517">
        <v>2.1</v>
      </c>
    </row>
    <row r="1518" spans="1:15" x14ac:dyDescent="0.25">
      <c r="A1518" s="8" t="s">
        <v>315</v>
      </c>
      <c r="B1518" s="1" t="s">
        <v>308</v>
      </c>
      <c r="C1518" s="1">
        <v>2018</v>
      </c>
      <c r="D1518" s="1">
        <v>3</v>
      </c>
      <c r="E1518" s="1">
        <v>4</v>
      </c>
      <c r="F1518" s="1">
        <v>3.5</v>
      </c>
      <c r="G1518" s="1">
        <v>1</v>
      </c>
      <c r="H1518" s="2">
        <v>2.6326912787586947</v>
      </c>
      <c r="I1518" s="2">
        <v>1.3333893745796908</v>
      </c>
      <c r="J1518" s="3">
        <v>6652</v>
      </c>
      <c r="K1518">
        <v>2.8252001812962684</v>
      </c>
      <c r="L1518">
        <v>1.7676386161051518</v>
      </c>
      <c r="M1518">
        <v>2.1</v>
      </c>
    </row>
    <row r="1519" spans="1:15" x14ac:dyDescent="0.25">
      <c r="A1519" s="8" t="s">
        <v>183</v>
      </c>
      <c r="B1519" s="1" t="s">
        <v>308</v>
      </c>
      <c r="C1519" s="1">
        <v>2014</v>
      </c>
      <c r="D1519" s="1">
        <v>5</v>
      </c>
      <c r="E1519" s="1">
        <v>5</v>
      </c>
      <c r="F1519" s="1">
        <v>5</v>
      </c>
      <c r="G1519" s="1">
        <v>0</v>
      </c>
      <c r="H1519" s="2">
        <v>0.79096323426540571</v>
      </c>
      <c r="I1519" s="2">
        <v>0.99287009936748394</v>
      </c>
      <c r="J1519" s="3">
        <v>871</v>
      </c>
      <c r="K1519">
        <v>15.350389321468297</v>
      </c>
      <c r="L1519">
        <v>0.33370411568409347</v>
      </c>
      <c r="M1519">
        <v>0.4</v>
      </c>
    </row>
    <row r="1520" spans="1:15" x14ac:dyDescent="0.25">
      <c r="A1520" s="8" t="s">
        <v>183</v>
      </c>
      <c r="B1520" s="1" t="s">
        <v>308</v>
      </c>
      <c r="C1520" s="1">
        <v>2015</v>
      </c>
      <c r="D1520" s="1">
        <v>5</v>
      </c>
      <c r="E1520" s="1">
        <v>5</v>
      </c>
      <c r="F1520" s="1">
        <v>5</v>
      </c>
      <c r="G1520" s="1">
        <v>0</v>
      </c>
      <c r="H1520" s="2">
        <v>2.4499904175981939</v>
      </c>
      <c r="I1520" s="2">
        <v>1.6293939531333235</v>
      </c>
      <c r="J1520" s="3">
        <v>900</v>
      </c>
      <c r="K1520">
        <v>15.350389321468297</v>
      </c>
      <c r="L1520">
        <v>0.33370411568409347</v>
      </c>
      <c r="M1520">
        <v>0.5</v>
      </c>
    </row>
    <row r="1521" spans="1:15" x14ac:dyDescent="0.25">
      <c r="A1521" t="s">
        <v>183</v>
      </c>
      <c r="B1521" s="1" t="s">
        <v>308</v>
      </c>
      <c r="C1521" s="1">
        <v>2016</v>
      </c>
      <c r="D1521" s="1">
        <v>5</v>
      </c>
      <c r="E1521" s="1">
        <v>5</v>
      </c>
      <c r="F1521" s="1">
        <v>5</v>
      </c>
      <c r="G1521" s="1">
        <v>0</v>
      </c>
      <c r="H1521" s="2">
        <v>1.8133332704402514</v>
      </c>
      <c r="I1521" s="2">
        <v>0.85960461703645885</v>
      </c>
      <c r="J1521" s="6">
        <v>899</v>
      </c>
      <c r="K1521" s="7">
        <v>15.350389321468297</v>
      </c>
      <c r="L1521" s="7">
        <v>0.33370411568409347</v>
      </c>
      <c r="M1521">
        <v>0.5</v>
      </c>
      <c r="O1521" s="7"/>
    </row>
    <row r="1522" spans="1:15" x14ac:dyDescent="0.25">
      <c r="A1522" t="s">
        <v>183</v>
      </c>
      <c r="B1522" s="1" t="s">
        <v>308</v>
      </c>
      <c r="C1522" s="1">
        <v>2017</v>
      </c>
      <c r="D1522" s="1">
        <v>5</v>
      </c>
      <c r="E1522" s="1">
        <v>5</v>
      </c>
      <c r="F1522" s="1">
        <v>5</v>
      </c>
      <c r="G1522" s="1">
        <v>0</v>
      </c>
      <c r="H1522" s="5">
        <v>2.074509992313605</v>
      </c>
      <c r="I1522" s="2">
        <v>1.0527402025113821</v>
      </c>
      <c r="J1522" s="3">
        <v>957</v>
      </c>
      <c r="K1522">
        <v>15.350389321468297</v>
      </c>
      <c r="L1522">
        <v>0.33370411568409347</v>
      </c>
      <c r="M1522">
        <v>0.5</v>
      </c>
    </row>
    <row r="1523" spans="1:15" x14ac:dyDescent="0.25">
      <c r="A1523" s="8" t="s">
        <v>183</v>
      </c>
      <c r="B1523" s="1" t="s">
        <v>308</v>
      </c>
      <c r="C1523" s="1">
        <v>2018</v>
      </c>
      <c r="D1523" s="1">
        <v>5</v>
      </c>
      <c r="E1523" s="1">
        <v>5</v>
      </c>
      <c r="F1523" s="1">
        <v>5</v>
      </c>
      <c r="G1523" s="1">
        <v>0</v>
      </c>
      <c r="H1523" s="2">
        <v>0.57431830528111649</v>
      </c>
      <c r="I1523" s="2">
        <v>0.89137092345640356</v>
      </c>
      <c r="J1523" s="3">
        <v>987</v>
      </c>
      <c r="K1523">
        <v>15.350389321468297</v>
      </c>
      <c r="L1523">
        <v>0.33370411568409347</v>
      </c>
      <c r="M1523">
        <v>0.5</v>
      </c>
    </row>
    <row r="1524" spans="1:15" x14ac:dyDescent="0.25">
      <c r="A1524" s="8" t="s">
        <v>316</v>
      </c>
      <c r="B1524" s="1" t="s">
        <v>308</v>
      </c>
      <c r="C1524" s="1">
        <v>2014</v>
      </c>
      <c r="D1524" s="1">
        <v>3</v>
      </c>
      <c r="E1524" s="1">
        <v>3</v>
      </c>
      <c r="F1524" s="1">
        <v>3</v>
      </c>
      <c r="G1524" s="1">
        <v>0</v>
      </c>
      <c r="H1524" s="2">
        <v>1.3924839921466829</v>
      </c>
      <c r="I1524" s="2">
        <v>0.97481390949458524</v>
      </c>
      <c r="J1524" s="3">
        <v>6854</v>
      </c>
      <c r="K1524">
        <v>4.4063285524175662</v>
      </c>
      <c r="L1524">
        <v>1.478633742422002</v>
      </c>
      <c r="M1524">
        <v>10.5</v>
      </c>
    </row>
    <row r="1525" spans="1:15" x14ac:dyDescent="0.25">
      <c r="A1525" s="8" t="s">
        <v>316</v>
      </c>
      <c r="B1525" s="1" t="s">
        <v>308</v>
      </c>
      <c r="C1525" s="1">
        <v>2015</v>
      </c>
      <c r="D1525" s="1">
        <v>3</v>
      </c>
      <c r="E1525" s="1">
        <v>3</v>
      </c>
      <c r="F1525" s="1">
        <v>3</v>
      </c>
      <c r="G1525" s="1">
        <v>0</v>
      </c>
      <c r="H1525" s="2">
        <v>1.2438273585324184</v>
      </c>
      <c r="I1525" s="2">
        <v>1.1757188771910532</v>
      </c>
      <c r="J1525" s="3">
        <v>6857</v>
      </c>
      <c r="K1525">
        <v>4.4063285524175662</v>
      </c>
      <c r="L1525">
        <v>1.478633742422002</v>
      </c>
      <c r="M1525">
        <v>10.5</v>
      </c>
    </row>
    <row r="1526" spans="1:15" x14ac:dyDescent="0.25">
      <c r="A1526" t="s">
        <v>316</v>
      </c>
      <c r="B1526" s="1" t="s">
        <v>308</v>
      </c>
      <c r="C1526" s="1">
        <v>2016</v>
      </c>
      <c r="D1526" s="1">
        <v>3</v>
      </c>
      <c r="E1526" s="1">
        <v>3</v>
      </c>
      <c r="F1526" s="1">
        <v>3</v>
      </c>
      <c r="G1526" s="1">
        <v>0</v>
      </c>
      <c r="H1526" s="2">
        <v>1.0097123086667354</v>
      </c>
      <c r="I1526" s="2">
        <v>1.4176780343416664</v>
      </c>
      <c r="J1526" s="6">
        <v>6763</v>
      </c>
      <c r="K1526" s="7">
        <v>4.4063285524175662</v>
      </c>
      <c r="L1526" s="7">
        <v>1.478633742422002</v>
      </c>
      <c r="M1526">
        <v>10.5</v>
      </c>
      <c r="O1526" s="7"/>
    </row>
    <row r="1527" spans="1:15" x14ac:dyDescent="0.25">
      <c r="A1527" t="s">
        <v>316</v>
      </c>
      <c r="B1527" s="1" t="s">
        <v>308</v>
      </c>
      <c r="C1527" s="1">
        <v>2017</v>
      </c>
      <c r="D1527" s="1">
        <v>3</v>
      </c>
      <c r="E1527" s="1">
        <v>3</v>
      </c>
      <c r="F1527" s="1">
        <v>3</v>
      </c>
      <c r="G1527" s="1">
        <v>0</v>
      </c>
      <c r="H1527" s="5">
        <v>0.89772330614576401</v>
      </c>
      <c r="I1527" s="2">
        <v>1.0540686914177739</v>
      </c>
      <c r="J1527" s="3">
        <v>6918</v>
      </c>
      <c r="K1527">
        <v>4.4063285524175662</v>
      </c>
      <c r="L1527">
        <v>1.478633742422002</v>
      </c>
      <c r="M1527">
        <v>10.6</v>
      </c>
    </row>
    <row r="1528" spans="1:15" x14ac:dyDescent="0.25">
      <c r="A1528" s="8" t="s">
        <v>316</v>
      </c>
      <c r="B1528" s="1" t="s">
        <v>308</v>
      </c>
      <c r="C1528" s="1">
        <v>2018</v>
      </c>
      <c r="D1528" s="1">
        <v>3</v>
      </c>
      <c r="E1528" s="1">
        <v>3</v>
      </c>
      <c r="F1528" s="1">
        <v>3</v>
      </c>
      <c r="G1528" s="1">
        <v>0</v>
      </c>
      <c r="H1528" s="2">
        <v>1.1198616984634753</v>
      </c>
      <c r="I1528" s="2">
        <v>1.216370137353044</v>
      </c>
      <c r="J1528" s="3">
        <v>6931</v>
      </c>
      <c r="K1528">
        <v>4.4063285524175662</v>
      </c>
      <c r="L1528">
        <v>1.478633742422002</v>
      </c>
      <c r="M1528">
        <v>10.6</v>
      </c>
    </row>
    <row r="1529" spans="1:15" x14ac:dyDescent="0.25">
      <c r="A1529" s="8" t="s">
        <v>317</v>
      </c>
      <c r="B1529" s="1" t="s">
        <v>308</v>
      </c>
      <c r="C1529" s="1">
        <v>2014</v>
      </c>
      <c r="D1529" s="1">
        <v>3</v>
      </c>
      <c r="E1529" s="1">
        <v>4</v>
      </c>
      <c r="F1529" s="1">
        <v>3.5</v>
      </c>
      <c r="G1529" s="1">
        <v>1</v>
      </c>
      <c r="H1529" s="2">
        <v>0</v>
      </c>
      <c r="I1529" s="2">
        <v>1.0575684816597626</v>
      </c>
      <c r="J1529" s="3">
        <v>4430</v>
      </c>
      <c r="K1529">
        <v>4.8181818181818183</v>
      </c>
      <c r="L1529">
        <v>2.8181818181818183</v>
      </c>
      <c r="M1529">
        <v>1.7</v>
      </c>
    </row>
    <row r="1530" spans="1:15" x14ac:dyDescent="0.25">
      <c r="A1530" s="8" t="s">
        <v>317</v>
      </c>
      <c r="B1530" s="1" t="s">
        <v>308</v>
      </c>
      <c r="C1530" s="1">
        <v>2015</v>
      </c>
      <c r="D1530" s="1">
        <v>3</v>
      </c>
      <c r="E1530" s="1">
        <v>4</v>
      </c>
      <c r="F1530" s="1">
        <v>3.5</v>
      </c>
      <c r="G1530" s="1">
        <v>1</v>
      </c>
      <c r="H1530" s="2">
        <v>2.2244238066485895</v>
      </c>
      <c r="I1530" s="2">
        <v>1.9557913449677362</v>
      </c>
      <c r="J1530" s="3">
        <v>4433</v>
      </c>
      <c r="K1530">
        <v>4.8181818181818183</v>
      </c>
      <c r="L1530">
        <v>2.8181818181818183</v>
      </c>
      <c r="M1530">
        <v>1.7</v>
      </c>
    </row>
    <row r="1531" spans="1:15" x14ac:dyDescent="0.25">
      <c r="A1531" t="s">
        <v>317</v>
      </c>
      <c r="B1531" s="1" t="s">
        <v>308</v>
      </c>
      <c r="C1531" s="1">
        <v>2016</v>
      </c>
      <c r="D1531" s="1">
        <v>3</v>
      </c>
      <c r="E1531" s="1">
        <v>4</v>
      </c>
      <c r="F1531" s="1">
        <v>3.5</v>
      </c>
      <c r="G1531" s="1">
        <v>1</v>
      </c>
      <c r="H1531" s="2">
        <v>1.6115365098721088</v>
      </c>
      <c r="I1531" s="2">
        <v>1.0305017894548154</v>
      </c>
      <c r="J1531" s="6">
        <v>4400</v>
      </c>
      <c r="K1531" s="7">
        <v>4.8181818181818183</v>
      </c>
      <c r="L1531" s="7">
        <v>2.8181818181818183</v>
      </c>
      <c r="M1531">
        <v>1.7</v>
      </c>
      <c r="O1531" s="7"/>
    </row>
    <row r="1532" spans="1:15" x14ac:dyDescent="0.25">
      <c r="A1532" t="s">
        <v>317</v>
      </c>
      <c r="B1532" s="1" t="s">
        <v>308</v>
      </c>
      <c r="C1532" s="1">
        <v>2017</v>
      </c>
      <c r="D1532" s="1">
        <v>3</v>
      </c>
      <c r="E1532" s="1">
        <v>4</v>
      </c>
      <c r="F1532" s="1">
        <v>3.5</v>
      </c>
      <c r="G1532" s="1">
        <v>1</v>
      </c>
      <c r="H1532" s="5">
        <v>2.5588326051922481</v>
      </c>
      <c r="I1532" s="2">
        <v>1.4801607039680451</v>
      </c>
      <c r="J1532" s="3">
        <v>4500</v>
      </c>
      <c r="K1532">
        <v>4.8181818181818183</v>
      </c>
      <c r="L1532">
        <v>2.8181818181818183</v>
      </c>
      <c r="M1532">
        <v>1.7</v>
      </c>
    </row>
    <row r="1533" spans="1:15" x14ac:dyDescent="0.25">
      <c r="A1533" s="8" t="s">
        <v>317</v>
      </c>
      <c r="B1533" s="1" t="s">
        <v>308</v>
      </c>
      <c r="C1533" s="1">
        <v>2018</v>
      </c>
      <c r="D1533" s="1">
        <v>3</v>
      </c>
      <c r="E1533" s="1">
        <v>4</v>
      </c>
      <c r="F1533" s="1">
        <v>3.5</v>
      </c>
      <c r="G1533" s="1">
        <v>1</v>
      </c>
      <c r="H1533" s="2">
        <v>2.4597219944272863</v>
      </c>
      <c r="I1533" s="2">
        <v>1.2670737639538028</v>
      </c>
      <c r="J1533" s="3">
        <v>4528</v>
      </c>
      <c r="K1533">
        <v>4.8181818181818183</v>
      </c>
      <c r="L1533">
        <v>2.8181818181818183</v>
      </c>
      <c r="M1533">
        <v>1.7</v>
      </c>
    </row>
    <row r="1534" spans="1:15" x14ac:dyDescent="0.25">
      <c r="A1534" s="8" t="s">
        <v>318</v>
      </c>
      <c r="B1534" s="1" t="s">
        <v>308</v>
      </c>
      <c r="C1534" s="1">
        <v>2014</v>
      </c>
      <c r="D1534" s="1">
        <v>2</v>
      </c>
      <c r="E1534" s="1">
        <v>2</v>
      </c>
      <c r="F1534" s="1">
        <v>2</v>
      </c>
      <c r="G1534" s="1">
        <v>0</v>
      </c>
      <c r="H1534" s="2">
        <v>1.3076310325217231</v>
      </c>
      <c r="I1534" s="2">
        <v>0.9191814614814614</v>
      </c>
      <c r="J1534" s="3">
        <v>46044</v>
      </c>
      <c r="K1534">
        <v>4.8631232971500236</v>
      </c>
      <c r="L1534">
        <v>9.4516282489296373</v>
      </c>
      <c r="M1534">
        <v>380.1</v>
      </c>
    </row>
    <row r="1535" spans="1:15" x14ac:dyDescent="0.25">
      <c r="A1535" s="8" t="s">
        <v>318</v>
      </c>
      <c r="B1535" s="1" t="s">
        <v>308</v>
      </c>
      <c r="C1535" s="1">
        <v>2015</v>
      </c>
      <c r="D1535" s="1">
        <v>2</v>
      </c>
      <c r="E1535" s="1">
        <v>2</v>
      </c>
      <c r="F1535" s="1">
        <v>2</v>
      </c>
      <c r="G1535" s="1">
        <v>0</v>
      </c>
      <c r="H1535" s="2">
        <v>1.164248250096785</v>
      </c>
      <c r="I1535" s="2">
        <v>0.91705367621914413</v>
      </c>
      <c r="J1535" s="3">
        <v>46307</v>
      </c>
      <c r="K1535">
        <v>4.8631232971500236</v>
      </c>
      <c r="L1535">
        <v>9.4516282489296373</v>
      </c>
      <c r="M1535">
        <v>382.2</v>
      </c>
    </row>
    <row r="1536" spans="1:15" x14ac:dyDescent="0.25">
      <c r="A1536" t="s">
        <v>318</v>
      </c>
      <c r="B1536" s="1" t="s">
        <v>308</v>
      </c>
      <c r="C1536" s="1">
        <v>2016</v>
      </c>
      <c r="D1536" s="1">
        <v>2</v>
      </c>
      <c r="E1536" s="1">
        <v>2</v>
      </c>
      <c r="F1536" s="1">
        <v>2</v>
      </c>
      <c r="G1536" s="1">
        <v>0</v>
      </c>
      <c r="H1536" s="2">
        <v>1.706815942265018</v>
      </c>
      <c r="I1536" s="2">
        <v>1.2009239704201742</v>
      </c>
      <c r="J1536" s="6">
        <v>46246</v>
      </c>
      <c r="K1536" s="7">
        <v>4.8631232971500236</v>
      </c>
      <c r="L1536" s="7">
        <v>9.4516282489296373</v>
      </c>
      <c r="M1536">
        <v>385.7</v>
      </c>
      <c r="O1536" s="7"/>
    </row>
    <row r="1537" spans="1:15" x14ac:dyDescent="0.25">
      <c r="A1537" t="s">
        <v>318</v>
      </c>
      <c r="B1537" s="1" t="s">
        <v>308</v>
      </c>
      <c r="C1537" s="1">
        <v>2017</v>
      </c>
      <c r="D1537" s="1">
        <v>2</v>
      </c>
      <c r="E1537" s="1">
        <v>2</v>
      </c>
      <c r="F1537" s="1">
        <v>2</v>
      </c>
      <c r="G1537" s="1">
        <v>0</v>
      </c>
      <c r="H1537" s="5">
        <v>0.94724025698527181</v>
      </c>
      <c r="I1537" s="2">
        <v>0.98857185964263472</v>
      </c>
      <c r="J1537" s="3">
        <v>47241</v>
      </c>
      <c r="K1537">
        <v>4.8631232971500236</v>
      </c>
      <c r="L1537">
        <v>9.4516282489296373</v>
      </c>
      <c r="M1537">
        <v>389.9</v>
      </c>
    </row>
    <row r="1538" spans="1:15" x14ac:dyDescent="0.25">
      <c r="A1538" s="8" t="s">
        <v>318</v>
      </c>
      <c r="B1538" s="1" t="s">
        <v>308</v>
      </c>
      <c r="C1538" s="1">
        <v>2018</v>
      </c>
      <c r="D1538" s="1">
        <v>2</v>
      </c>
      <c r="E1538" s="1">
        <v>2</v>
      </c>
      <c r="F1538" s="1">
        <v>2</v>
      </c>
      <c r="G1538" s="1">
        <v>0</v>
      </c>
      <c r="H1538" s="2">
        <v>0.42052320357493356</v>
      </c>
      <c r="I1538" s="2">
        <v>0.85413536611100127</v>
      </c>
      <c r="J1538" s="3">
        <v>47636</v>
      </c>
      <c r="K1538">
        <v>4.8631232971500236</v>
      </c>
      <c r="L1538">
        <v>9.4516282489296373</v>
      </c>
      <c r="M1538">
        <v>393.2</v>
      </c>
    </row>
    <row r="1539" spans="1:15" x14ac:dyDescent="0.25">
      <c r="A1539" s="8" t="s">
        <v>319</v>
      </c>
      <c r="B1539" s="1" t="s">
        <v>308</v>
      </c>
      <c r="C1539" s="1">
        <v>2014</v>
      </c>
      <c r="D1539" s="1">
        <v>2</v>
      </c>
      <c r="E1539" s="1">
        <v>2</v>
      </c>
      <c r="F1539" s="1">
        <v>2</v>
      </c>
      <c r="G1539" s="1">
        <v>0</v>
      </c>
      <c r="H1539" s="2">
        <v>1.4094362137677927</v>
      </c>
      <c r="I1539" s="2">
        <v>1.0603882488107028</v>
      </c>
      <c r="J1539" s="3">
        <v>51232</v>
      </c>
      <c r="K1539">
        <v>1.4</v>
      </c>
      <c r="L1539">
        <v>15.1</v>
      </c>
      <c r="M1539">
        <v>657.6</v>
      </c>
    </row>
    <row r="1540" spans="1:15" x14ac:dyDescent="0.25">
      <c r="A1540" s="8" t="s">
        <v>319</v>
      </c>
      <c r="B1540" s="1" t="s">
        <v>308</v>
      </c>
      <c r="C1540" s="1">
        <v>2015</v>
      </c>
      <c r="D1540" s="9">
        <v>2</v>
      </c>
      <c r="E1540" s="9">
        <v>4</v>
      </c>
      <c r="F1540" s="9">
        <v>3</v>
      </c>
      <c r="G1540" s="1">
        <v>2</v>
      </c>
      <c r="H1540" s="2">
        <v>1.4775122938341112</v>
      </c>
      <c r="I1540" s="2">
        <v>1.1320744087739774</v>
      </c>
      <c r="J1540" s="3">
        <v>51591</v>
      </c>
      <c r="K1540">
        <v>1.4</v>
      </c>
      <c r="L1540">
        <v>15.1</v>
      </c>
      <c r="M1540">
        <v>662.2</v>
      </c>
    </row>
    <row r="1541" spans="1:15" x14ac:dyDescent="0.25">
      <c r="A1541" t="s">
        <v>319</v>
      </c>
      <c r="B1541" s="1" t="s">
        <v>308</v>
      </c>
      <c r="C1541" s="1">
        <v>2016</v>
      </c>
      <c r="D1541" s="1">
        <v>2</v>
      </c>
      <c r="E1541" s="1">
        <v>2</v>
      </c>
      <c r="F1541" s="1">
        <v>2</v>
      </c>
      <c r="G1541" s="1">
        <v>0</v>
      </c>
      <c r="H1541" s="5">
        <v>1.6365113306572689</v>
      </c>
      <c r="I1541" s="2">
        <v>6.815190965488088</v>
      </c>
      <c r="J1541" s="3">
        <v>52018</v>
      </c>
      <c r="K1541" s="11">
        <v>1.4</v>
      </c>
      <c r="L1541" s="11">
        <v>15.1</v>
      </c>
      <c r="M1541">
        <v>667.7</v>
      </c>
      <c r="O1541" s="7"/>
    </row>
    <row r="1542" spans="1:15" x14ac:dyDescent="0.25">
      <c r="A1542" t="s">
        <v>319</v>
      </c>
      <c r="B1542" s="1" t="s">
        <v>308</v>
      </c>
      <c r="C1542" s="1">
        <v>2017</v>
      </c>
      <c r="D1542" s="1">
        <v>2</v>
      </c>
      <c r="E1542" s="1">
        <v>2</v>
      </c>
      <c r="F1542" s="1">
        <v>2</v>
      </c>
      <c r="G1542" s="1">
        <v>0</v>
      </c>
      <c r="H1542" s="5">
        <v>1.6262534662985648</v>
      </c>
      <c r="I1542" s="2">
        <v>1.0685834992354943</v>
      </c>
      <c r="J1542" s="3">
        <v>52901</v>
      </c>
      <c r="K1542">
        <v>1.4</v>
      </c>
      <c r="L1542">
        <v>15.1</v>
      </c>
      <c r="M1542">
        <v>679</v>
      </c>
    </row>
    <row r="1543" spans="1:15" x14ac:dyDescent="0.25">
      <c r="A1543" s="8" t="s">
        <v>319</v>
      </c>
      <c r="B1543" s="1" t="s">
        <v>308</v>
      </c>
      <c r="C1543" s="1">
        <v>2018</v>
      </c>
      <c r="D1543" s="1">
        <v>2</v>
      </c>
      <c r="E1543" s="1">
        <v>2</v>
      </c>
      <c r="F1543" s="1">
        <v>2</v>
      </c>
      <c r="G1543" s="1">
        <v>0</v>
      </c>
      <c r="H1543" s="2">
        <v>2.1256648761452754</v>
      </c>
      <c r="I1543" s="2">
        <v>1.0941075216219929</v>
      </c>
      <c r="J1543" s="3">
        <v>53684</v>
      </c>
      <c r="K1543">
        <v>1.4</v>
      </c>
      <c r="L1543">
        <v>15.1</v>
      </c>
      <c r="M1543">
        <v>689.1</v>
      </c>
    </row>
    <row r="1544" spans="1:15" x14ac:dyDescent="0.25">
      <c r="A1544" s="8" t="s">
        <v>320</v>
      </c>
      <c r="B1544" s="1" t="s">
        <v>308</v>
      </c>
      <c r="C1544" s="1">
        <v>2014</v>
      </c>
      <c r="D1544" s="9">
        <v>2</v>
      </c>
      <c r="E1544" s="9">
        <v>4</v>
      </c>
      <c r="F1544" s="9">
        <v>3</v>
      </c>
      <c r="G1544" s="1">
        <v>2</v>
      </c>
      <c r="H1544" s="2">
        <v>1.3272404908185662</v>
      </c>
      <c r="I1544" s="2">
        <v>0.859642543676719</v>
      </c>
      <c r="J1544" s="3">
        <v>16243</v>
      </c>
      <c r="K1544">
        <v>9.2104450892030378</v>
      </c>
      <c r="L1544">
        <v>3.5681214889808013</v>
      </c>
      <c r="M1544">
        <v>2.9</v>
      </c>
    </row>
    <row r="1545" spans="1:15" x14ac:dyDescent="0.25">
      <c r="A1545" s="8" t="s">
        <v>320</v>
      </c>
      <c r="B1545" s="1" t="s">
        <v>308</v>
      </c>
      <c r="C1545" s="1">
        <v>2015</v>
      </c>
      <c r="D1545" s="1">
        <v>3</v>
      </c>
      <c r="E1545" s="1">
        <v>3</v>
      </c>
      <c r="F1545" s="1">
        <v>3</v>
      </c>
      <c r="G1545" s="1">
        <v>0</v>
      </c>
      <c r="H1545" s="2">
        <v>4.9248178628074832</v>
      </c>
      <c r="I1545" s="2">
        <v>2.2443099523907537</v>
      </c>
      <c r="J1545" s="3">
        <v>16361</v>
      </c>
      <c r="K1545">
        <v>9.2104450892030378</v>
      </c>
      <c r="L1545">
        <v>3.5681214889808013</v>
      </c>
      <c r="M1545">
        <v>3</v>
      </c>
    </row>
    <row r="1546" spans="1:15" x14ac:dyDescent="0.25">
      <c r="A1546" s="10" t="s">
        <v>320</v>
      </c>
      <c r="B1546" s="9" t="s">
        <v>308</v>
      </c>
      <c r="C1546" s="1">
        <v>2016</v>
      </c>
      <c r="D1546" s="9">
        <v>2</v>
      </c>
      <c r="E1546" s="9">
        <v>4</v>
      </c>
      <c r="F1546" s="9">
        <v>3</v>
      </c>
      <c r="G1546" s="1">
        <v>2</v>
      </c>
      <c r="H1546" s="2">
        <v>1.3037475110930585</v>
      </c>
      <c r="I1546" s="2">
        <v>1.0871377444327766</v>
      </c>
      <c r="J1546" s="6">
        <v>16199</v>
      </c>
      <c r="K1546" s="7">
        <v>9.2104450892030378</v>
      </c>
      <c r="L1546" s="7">
        <v>3.5681214889808013</v>
      </c>
      <c r="M1546">
        <v>3</v>
      </c>
      <c r="O1546" s="7"/>
    </row>
    <row r="1547" spans="1:15" x14ac:dyDescent="0.25">
      <c r="A1547" s="10" t="s">
        <v>320</v>
      </c>
      <c r="B1547" s="9" t="s">
        <v>308</v>
      </c>
      <c r="C1547" s="1">
        <v>2017</v>
      </c>
      <c r="D1547" s="9">
        <v>2</v>
      </c>
      <c r="E1547" s="9">
        <v>4</v>
      </c>
      <c r="F1547" s="9">
        <v>3</v>
      </c>
      <c r="G1547" s="1">
        <v>2</v>
      </c>
      <c r="H1547" s="5">
        <v>1.2901784467007857</v>
      </c>
      <c r="I1547" s="2">
        <v>1.1626232506431331</v>
      </c>
      <c r="J1547" s="3">
        <v>16875</v>
      </c>
      <c r="K1547">
        <v>9.2104450892030378</v>
      </c>
      <c r="L1547">
        <v>3.5681214889808013</v>
      </c>
      <c r="M1547">
        <v>3.1</v>
      </c>
    </row>
    <row r="1548" spans="1:15" x14ac:dyDescent="0.25">
      <c r="A1548" s="8" t="s">
        <v>320</v>
      </c>
      <c r="B1548" s="1" t="s">
        <v>308</v>
      </c>
      <c r="C1548" s="1">
        <v>2018</v>
      </c>
      <c r="D1548" s="9">
        <v>2</v>
      </c>
      <c r="E1548" s="9">
        <v>4</v>
      </c>
      <c r="F1548" s="9">
        <v>3</v>
      </c>
      <c r="G1548" s="1">
        <v>2</v>
      </c>
      <c r="H1548" s="2">
        <v>1.8208231937302819</v>
      </c>
      <c r="I1548" s="2">
        <v>1.0346876861834369</v>
      </c>
      <c r="J1548" s="3">
        <v>17219</v>
      </c>
      <c r="K1548">
        <v>9.2104450892030378</v>
      </c>
      <c r="L1548">
        <v>3.5681214889808013</v>
      </c>
      <c r="M1548">
        <v>3.1</v>
      </c>
    </row>
    <row r="1549" spans="1:15" x14ac:dyDescent="0.25">
      <c r="A1549" s="8" t="s">
        <v>321</v>
      </c>
      <c r="B1549" s="1" t="s">
        <v>308</v>
      </c>
      <c r="C1549" s="1">
        <v>2014</v>
      </c>
      <c r="D1549" s="1">
        <v>3</v>
      </c>
      <c r="E1549" s="1">
        <v>3</v>
      </c>
      <c r="F1549" s="1">
        <v>3</v>
      </c>
      <c r="G1549" s="1">
        <v>0</v>
      </c>
      <c r="H1549" s="2">
        <v>1.0594286456815394</v>
      </c>
      <c r="I1549" s="2">
        <v>0.98054035177418464</v>
      </c>
      <c r="J1549" s="3">
        <v>6317</v>
      </c>
      <c r="K1549">
        <v>5.0767221678093373</v>
      </c>
      <c r="L1549">
        <v>3.1505060398302316</v>
      </c>
      <c r="M1549">
        <v>5.5</v>
      </c>
    </row>
    <row r="1550" spans="1:15" x14ac:dyDescent="0.25">
      <c r="A1550" s="8" t="s">
        <v>321</v>
      </c>
      <c r="B1550" s="1" t="s">
        <v>308</v>
      </c>
      <c r="C1550" s="1">
        <v>2015</v>
      </c>
      <c r="D1550" s="1">
        <v>5</v>
      </c>
      <c r="E1550" s="1">
        <v>5</v>
      </c>
      <c r="F1550" s="1">
        <v>5</v>
      </c>
      <c r="G1550" s="1">
        <v>0</v>
      </c>
      <c r="H1550" s="2">
        <v>1.2565907488001655</v>
      </c>
      <c r="I1550" s="2">
        <v>1.6071712315215958</v>
      </c>
      <c r="J1550" s="3">
        <v>6286</v>
      </c>
      <c r="K1550">
        <v>5.0767221678093373</v>
      </c>
      <c r="L1550">
        <v>3.1505060398302316</v>
      </c>
      <c r="M1550">
        <v>5.4</v>
      </c>
    </row>
    <row r="1551" spans="1:15" x14ac:dyDescent="0.25">
      <c r="A1551" t="s">
        <v>321</v>
      </c>
      <c r="B1551" s="1" t="s">
        <v>308</v>
      </c>
      <c r="C1551" s="1">
        <v>2016</v>
      </c>
      <c r="D1551" s="1">
        <v>3</v>
      </c>
      <c r="E1551" s="1">
        <v>3</v>
      </c>
      <c r="F1551" s="1">
        <v>3</v>
      </c>
      <c r="G1551" s="1">
        <v>0</v>
      </c>
      <c r="H1551" s="2">
        <v>0.89132988913614353</v>
      </c>
      <c r="I1551" s="2">
        <v>0.9123685360510555</v>
      </c>
      <c r="J1551" s="6">
        <v>6126</v>
      </c>
      <c r="K1551" s="7">
        <v>5.0767221678093373</v>
      </c>
      <c r="L1551" s="7">
        <v>3.1505060398302316</v>
      </c>
      <c r="M1551">
        <v>5.4</v>
      </c>
      <c r="O1551" s="7"/>
    </row>
    <row r="1552" spans="1:15" x14ac:dyDescent="0.25">
      <c r="A1552" t="s">
        <v>321</v>
      </c>
      <c r="B1552" s="1" t="s">
        <v>308</v>
      </c>
      <c r="C1552" s="1">
        <v>2017</v>
      </c>
      <c r="D1552" s="1">
        <v>3</v>
      </c>
      <c r="E1552" s="1">
        <v>3</v>
      </c>
      <c r="F1552" s="1">
        <v>3</v>
      </c>
      <c r="G1552" s="1">
        <v>0</v>
      </c>
      <c r="H1552" s="5">
        <v>2.3746672112752165</v>
      </c>
      <c r="I1552" s="2">
        <v>1.3984131238266579</v>
      </c>
      <c r="J1552" s="3">
        <v>6297</v>
      </c>
      <c r="K1552">
        <v>5.0767221678093373</v>
      </c>
      <c r="L1552">
        <v>3.1505060398302316</v>
      </c>
      <c r="M1552">
        <v>5.4</v>
      </c>
    </row>
    <row r="1553" spans="1:15" x14ac:dyDescent="0.25">
      <c r="A1553" s="8" t="s">
        <v>321</v>
      </c>
      <c r="B1553" s="1" t="s">
        <v>308</v>
      </c>
      <c r="C1553" s="1">
        <v>2018</v>
      </c>
      <c r="D1553" s="1">
        <v>3</v>
      </c>
      <c r="E1553" s="1">
        <v>3</v>
      </c>
      <c r="F1553" s="1">
        <v>3</v>
      </c>
      <c r="G1553" s="1">
        <v>0</v>
      </c>
      <c r="H1553" s="2">
        <v>1.155717160609907</v>
      </c>
      <c r="I1553" s="2">
        <v>1.1982386136427017</v>
      </c>
      <c r="J1553" s="3">
        <v>6324</v>
      </c>
      <c r="K1553">
        <v>5.0767221678093373</v>
      </c>
      <c r="L1553">
        <v>3.1505060398302316</v>
      </c>
      <c r="M1553">
        <v>5.5</v>
      </c>
    </row>
    <row r="1554" spans="1:15" x14ac:dyDescent="0.25">
      <c r="A1554" s="8" t="s">
        <v>322</v>
      </c>
      <c r="B1554" s="1" t="s">
        <v>308</v>
      </c>
      <c r="C1554" s="1">
        <v>2014</v>
      </c>
      <c r="D1554" s="1">
        <v>5</v>
      </c>
      <c r="E1554" s="1">
        <v>5</v>
      </c>
      <c r="F1554" s="1">
        <v>5</v>
      </c>
      <c r="G1554" s="1">
        <v>0</v>
      </c>
      <c r="H1554" s="2">
        <v>1.1298384852056296</v>
      </c>
      <c r="I1554" s="2">
        <v>0.89070743292779342</v>
      </c>
      <c r="J1554" s="3">
        <v>1611</v>
      </c>
      <c r="K1554">
        <v>2.5900189513581804</v>
      </c>
      <c r="L1554">
        <v>4.2956411876184459</v>
      </c>
      <c r="M1554">
        <v>1.5</v>
      </c>
    </row>
    <row r="1555" spans="1:15" x14ac:dyDescent="0.25">
      <c r="A1555" s="8" t="s">
        <v>322</v>
      </c>
      <c r="B1555" s="1" t="s">
        <v>308</v>
      </c>
      <c r="C1555" s="1">
        <v>2015</v>
      </c>
      <c r="D1555" s="1">
        <v>2</v>
      </c>
      <c r="E1555" s="1">
        <v>3</v>
      </c>
      <c r="F1555" s="1">
        <v>2.5</v>
      </c>
      <c r="G1555" s="1">
        <v>1</v>
      </c>
      <c r="H1555" s="2">
        <v>1.5672727334170082</v>
      </c>
      <c r="I1555" s="2">
        <v>1.470352254516222</v>
      </c>
      <c r="J1555" s="3">
        <v>1599</v>
      </c>
      <c r="K1555">
        <v>2.5900189513581804</v>
      </c>
      <c r="L1555">
        <v>4.2956411876184459</v>
      </c>
      <c r="M1555">
        <v>1.5</v>
      </c>
    </row>
    <row r="1556" spans="1:15" x14ac:dyDescent="0.25">
      <c r="A1556" t="s">
        <v>322</v>
      </c>
      <c r="B1556" s="1" t="s">
        <v>308</v>
      </c>
      <c r="C1556" s="1">
        <v>2016</v>
      </c>
      <c r="D1556" s="1">
        <v>5</v>
      </c>
      <c r="E1556" s="1">
        <v>5</v>
      </c>
      <c r="F1556" s="1">
        <v>5</v>
      </c>
      <c r="G1556" s="1">
        <v>0</v>
      </c>
      <c r="H1556" s="2">
        <v>1.1731372958396438</v>
      </c>
      <c r="I1556" s="2">
        <v>1.1559604274421991</v>
      </c>
      <c r="J1556" s="6">
        <v>1583</v>
      </c>
      <c r="K1556" s="7">
        <v>2.5900189513581804</v>
      </c>
      <c r="L1556" s="7">
        <v>4.2956411876184459</v>
      </c>
      <c r="M1556">
        <v>1.5</v>
      </c>
      <c r="O1556" s="7"/>
    </row>
    <row r="1557" spans="1:15" x14ac:dyDescent="0.25">
      <c r="A1557" t="s">
        <v>322</v>
      </c>
      <c r="B1557" s="1" t="s">
        <v>308</v>
      </c>
      <c r="C1557" s="1">
        <v>2017</v>
      </c>
      <c r="D1557" s="1">
        <v>5</v>
      </c>
      <c r="E1557" s="1">
        <v>5</v>
      </c>
      <c r="F1557" s="1">
        <v>5</v>
      </c>
      <c r="G1557" s="1">
        <v>0</v>
      </c>
      <c r="H1557" s="5">
        <v>0.72982455048258732</v>
      </c>
      <c r="I1557" s="2">
        <v>1.1020750394039605</v>
      </c>
      <c r="J1557" s="3">
        <v>1592</v>
      </c>
      <c r="K1557">
        <v>2.5900189513581804</v>
      </c>
      <c r="L1557">
        <v>4.2956411876184459</v>
      </c>
      <c r="M1557">
        <v>1.5</v>
      </c>
    </row>
    <row r="1558" spans="1:15" x14ac:dyDescent="0.25">
      <c r="A1558" s="8" t="s">
        <v>322</v>
      </c>
      <c r="B1558" s="1" t="s">
        <v>308</v>
      </c>
      <c r="C1558" s="1">
        <v>2018</v>
      </c>
      <c r="D1558" s="1">
        <v>5</v>
      </c>
      <c r="E1558" s="1">
        <v>5</v>
      </c>
      <c r="F1558" s="1">
        <v>5</v>
      </c>
      <c r="G1558" s="1">
        <v>0</v>
      </c>
      <c r="H1558" s="2">
        <v>1.2223704455480546</v>
      </c>
      <c r="I1558" s="2">
        <v>1.0221904929996508</v>
      </c>
      <c r="J1558" s="3">
        <v>1601</v>
      </c>
      <c r="K1558">
        <v>2.5900189513581804</v>
      </c>
      <c r="L1558">
        <v>4.2956411876184459</v>
      </c>
      <c r="M1558">
        <v>1.5</v>
      </c>
    </row>
    <row r="1559" spans="1:15" x14ac:dyDescent="0.25">
      <c r="A1559" s="8" t="s">
        <v>323</v>
      </c>
      <c r="B1559" s="1" t="s">
        <v>308</v>
      </c>
      <c r="C1559" s="1">
        <v>2014</v>
      </c>
      <c r="D1559" s="1">
        <v>2</v>
      </c>
      <c r="E1559" s="1">
        <v>3</v>
      </c>
      <c r="F1559" s="1">
        <v>2.5</v>
      </c>
      <c r="G1559" s="1">
        <v>1</v>
      </c>
      <c r="H1559" s="2">
        <v>1.2773436998943426</v>
      </c>
      <c r="I1559" s="2">
        <v>1.0293447771196116</v>
      </c>
      <c r="J1559" s="3">
        <v>35723</v>
      </c>
      <c r="K1559">
        <v>3.6037041169251367</v>
      </c>
      <c r="L1559">
        <v>6.0777641414704897</v>
      </c>
      <c r="M1559">
        <v>49.6</v>
      </c>
    </row>
    <row r="1560" spans="1:15" x14ac:dyDescent="0.25">
      <c r="A1560" s="8" t="s">
        <v>323</v>
      </c>
      <c r="B1560" s="1" t="s">
        <v>308</v>
      </c>
      <c r="C1560" s="1">
        <v>2015</v>
      </c>
      <c r="D1560" s="1">
        <v>2</v>
      </c>
      <c r="E1560" s="1">
        <v>3</v>
      </c>
      <c r="F1560" s="1">
        <v>2.5</v>
      </c>
      <c r="G1560" s="1">
        <v>1</v>
      </c>
      <c r="H1560" s="2">
        <v>1.1082535613429871</v>
      </c>
      <c r="I1560" s="2">
        <v>1.0198502103933804</v>
      </c>
      <c r="J1560" s="3">
        <v>36140</v>
      </c>
      <c r="K1560">
        <v>3.6037041169251367</v>
      </c>
      <c r="L1560">
        <v>6.0777641414704897</v>
      </c>
      <c r="M1560">
        <v>50.2</v>
      </c>
    </row>
    <row r="1561" spans="1:15" x14ac:dyDescent="0.25">
      <c r="A1561" t="s">
        <v>323</v>
      </c>
      <c r="B1561" s="1" t="s">
        <v>308</v>
      </c>
      <c r="C1561" s="1">
        <v>2016</v>
      </c>
      <c r="D1561" s="1">
        <v>2</v>
      </c>
      <c r="E1561" s="1">
        <v>3</v>
      </c>
      <c r="F1561" s="1">
        <v>2.5</v>
      </c>
      <c r="G1561" s="1">
        <v>1</v>
      </c>
      <c r="H1561" s="2">
        <v>1.1548302844304363</v>
      </c>
      <c r="I1561" s="2">
        <v>1.1891309085641402</v>
      </c>
      <c r="J1561" s="6">
        <v>35852</v>
      </c>
      <c r="K1561" s="7">
        <v>3.6037041169251367</v>
      </c>
      <c r="L1561" s="7">
        <v>6.0777641414704897</v>
      </c>
      <c r="M1561">
        <v>50.7</v>
      </c>
      <c r="O1561" s="7"/>
    </row>
    <row r="1562" spans="1:15" x14ac:dyDescent="0.25">
      <c r="A1562" t="s">
        <v>323</v>
      </c>
      <c r="B1562" s="1" t="s">
        <v>308</v>
      </c>
      <c r="C1562" s="1">
        <v>2017</v>
      </c>
      <c r="D1562" s="1">
        <v>2</v>
      </c>
      <c r="E1562" s="1">
        <v>3</v>
      </c>
      <c r="F1562" s="1">
        <v>2.5</v>
      </c>
      <c r="G1562" s="1">
        <v>1</v>
      </c>
      <c r="H1562" s="5">
        <v>1.0245292619522566</v>
      </c>
      <c r="I1562" s="2">
        <v>1.1304900069832255</v>
      </c>
      <c r="J1562" s="3">
        <v>37148</v>
      </c>
      <c r="K1562">
        <v>3.6037041169251367</v>
      </c>
      <c r="L1562">
        <v>6.0777641414704897</v>
      </c>
      <c r="M1562">
        <v>51.6</v>
      </c>
    </row>
    <row r="1563" spans="1:15" x14ac:dyDescent="0.25">
      <c r="A1563" s="8" t="s">
        <v>323</v>
      </c>
      <c r="B1563" s="1" t="s">
        <v>308</v>
      </c>
      <c r="C1563" s="1">
        <v>2018</v>
      </c>
      <c r="D1563" s="1">
        <v>2</v>
      </c>
      <c r="E1563" s="1">
        <v>3</v>
      </c>
      <c r="F1563" s="1">
        <v>2.5</v>
      </c>
      <c r="G1563" s="1">
        <v>1</v>
      </c>
      <c r="H1563" s="2">
        <v>1.6921075766157334</v>
      </c>
      <c r="I1563" s="2">
        <v>1.2390121809159536</v>
      </c>
      <c r="J1563" s="3">
        <v>37734</v>
      </c>
      <c r="K1563">
        <v>3.6037041169251367</v>
      </c>
      <c r="L1563">
        <v>6.0777641414704897</v>
      </c>
      <c r="M1563">
        <v>52.4</v>
      </c>
    </row>
    <row r="1564" spans="1:15" x14ac:dyDescent="0.25">
      <c r="A1564" s="8" t="s">
        <v>324</v>
      </c>
      <c r="B1564" s="1" t="s">
        <v>308</v>
      </c>
      <c r="C1564" s="1">
        <v>2014</v>
      </c>
      <c r="D1564" s="1">
        <v>2</v>
      </c>
      <c r="E1564" s="1">
        <v>3</v>
      </c>
      <c r="F1564" s="1">
        <v>2.5</v>
      </c>
      <c r="G1564" s="1">
        <v>1</v>
      </c>
      <c r="H1564" s="2">
        <v>1.6239966916443331</v>
      </c>
      <c r="I1564" s="2">
        <v>1.3679010983581621</v>
      </c>
      <c r="J1564" s="3">
        <v>10569</v>
      </c>
      <c r="K1564">
        <v>5.009345794392523</v>
      </c>
      <c r="L1564">
        <v>2.0093457943925235</v>
      </c>
      <c r="M1564">
        <v>17.600000000000001</v>
      </c>
    </row>
    <row r="1565" spans="1:15" x14ac:dyDescent="0.25">
      <c r="A1565" s="8" t="s">
        <v>324</v>
      </c>
      <c r="B1565" s="1" t="s">
        <v>308</v>
      </c>
      <c r="C1565" s="1">
        <v>2015</v>
      </c>
      <c r="D1565" s="1">
        <v>2</v>
      </c>
      <c r="E1565" s="1">
        <v>3</v>
      </c>
      <c r="F1565" s="1">
        <v>2.5</v>
      </c>
      <c r="G1565" s="1">
        <v>1</v>
      </c>
      <c r="H1565" s="2">
        <v>1.639689017400668</v>
      </c>
      <c r="I1565" s="2">
        <v>2.9384776895651856</v>
      </c>
      <c r="J1565" s="3">
        <v>10723</v>
      </c>
      <c r="K1565">
        <v>5.009345794392523</v>
      </c>
      <c r="L1565">
        <v>2.0093457943925235</v>
      </c>
      <c r="M1565">
        <v>17.899999999999999</v>
      </c>
    </row>
    <row r="1566" spans="1:15" x14ac:dyDescent="0.25">
      <c r="A1566" t="s">
        <v>324</v>
      </c>
      <c r="B1566" s="1" t="s">
        <v>308</v>
      </c>
      <c r="C1566" s="1">
        <v>2016</v>
      </c>
      <c r="D1566" s="1">
        <v>2</v>
      </c>
      <c r="E1566" s="1">
        <v>3</v>
      </c>
      <c r="F1566" s="1">
        <v>2.5</v>
      </c>
      <c r="G1566" s="1">
        <v>1</v>
      </c>
      <c r="H1566" s="2">
        <v>1.3365828208106529</v>
      </c>
      <c r="I1566" s="2">
        <v>0.9547030082321083</v>
      </c>
      <c r="J1566" s="6">
        <v>10700</v>
      </c>
      <c r="K1566" s="7">
        <v>5.009345794392523</v>
      </c>
      <c r="L1566" s="7">
        <v>2.0093457943925235</v>
      </c>
      <c r="M1566">
        <v>18.2</v>
      </c>
      <c r="O1566" s="7"/>
    </row>
    <row r="1567" spans="1:15" x14ac:dyDescent="0.25">
      <c r="A1567" t="s">
        <v>324</v>
      </c>
      <c r="B1567" s="1" t="s">
        <v>308</v>
      </c>
      <c r="C1567" s="1">
        <v>2017</v>
      </c>
      <c r="D1567" s="1">
        <v>2</v>
      </c>
      <c r="E1567" s="1">
        <v>3</v>
      </c>
      <c r="F1567" s="1">
        <v>2.5</v>
      </c>
      <c r="G1567" s="1">
        <v>1</v>
      </c>
      <c r="H1567" s="5">
        <v>1.3327128496935678</v>
      </c>
      <c r="I1567" s="2">
        <v>1.3535606333977863</v>
      </c>
      <c r="J1567" s="3">
        <v>11111</v>
      </c>
      <c r="K1567">
        <v>5.009345794392523</v>
      </c>
      <c r="L1567">
        <v>2.0093457943925235</v>
      </c>
      <c r="M1567">
        <v>18.5</v>
      </c>
    </row>
    <row r="1568" spans="1:15" x14ac:dyDescent="0.25">
      <c r="A1568" s="8" t="s">
        <v>324</v>
      </c>
      <c r="B1568" s="1" t="s">
        <v>308</v>
      </c>
      <c r="C1568" s="1">
        <v>2018</v>
      </c>
      <c r="D1568" s="1">
        <v>2</v>
      </c>
      <c r="E1568" s="1">
        <v>3</v>
      </c>
      <c r="F1568" s="1">
        <v>2.5</v>
      </c>
      <c r="G1568" s="1">
        <v>1</v>
      </c>
      <c r="H1568" s="2">
        <v>1.0556543293453537</v>
      </c>
      <c r="I1568" s="2">
        <v>1.2874811334769747</v>
      </c>
      <c r="J1568" s="3">
        <v>11329</v>
      </c>
      <c r="K1568">
        <v>5.009345794392523</v>
      </c>
      <c r="L1568">
        <v>2.0093457943925235</v>
      </c>
      <c r="M1568">
        <v>18.899999999999999</v>
      </c>
    </row>
    <row r="1569" spans="1:15" x14ac:dyDescent="0.25">
      <c r="A1569" s="8" t="s">
        <v>325</v>
      </c>
      <c r="B1569" s="1" t="s">
        <v>308</v>
      </c>
      <c r="C1569" s="1">
        <v>2014</v>
      </c>
      <c r="D1569" s="1">
        <v>2</v>
      </c>
      <c r="E1569" s="1">
        <v>3</v>
      </c>
      <c r="F1569" s="1">
        <v>2.5</v>
      </c>
      <c r="G1569" s="1">
        <v>1</v>
      </c>
      <c r="H1569" s="2">
        <v>1.0458157568805337</v>
      </c>
      <c r="I1569" s="2">
        <v>1.2050804825164163</v>
      </c>
      <c r="J1569" s="3">
        <v>66576</v>
      </c>
      <c r="K1569">
        <v>3.5404602138676959</v>
      </c>
      <c r="L1569">
        <v>7.1284125379170877</v>
      </c>
      <c r="M1569">
        <v>47.1</v>
      </c>
    </row>
    <row r="1570" spans="1:15" x14ac:dyDescent="0.25">
      <c r="A1570" s="8" t="s">
        <v>325</v>
      </c>
      <c r="B1570" s="1" t="s">
        <v>308</v>
      </c>
      <c r="C1570" s="1">
        <v>2015</v>
      </c>
      <c r="D1570" s="1">
        <v>2</v>
      </c>
      <c r="E1570" s="1">
        <v>3</v>
      </c>
      <c r="F1570" s="1">
        <v>2.5</v>
      </c>
      <c r="G1570" s="1">
        <v>1</v>
      </c>
      <c r="H1570" s="2">
        <v>1.344755521241209</v>
      </c>
      <c r="I1570" s="2">
        <v>1.0981529842042126</v>
      </c>
      <c r="J1570" s="3">
        <v>66492</v>
      </c>
      <c r="K1570">
        <v>3.5404602138676959</v>
      </c>
      <c r="L1570">
        <v>7.1284125379170877</v>
      </c>
      <c r="M1570">
        <v>47</v>
      </c>
    </row>
    <row r="1571" spans="1:15" x14ac:dyDescent="0.25">
      <c r="A1571" t="s">
        <v>325</v>
      </c>
      <c r="B1571" s="1" t="s">
        <v>308</v>
      </c>
      <c r="C1571" s="1">
        <v>2016</v>
      </c>
      <c r="D1571" s="1">
        <v>2</v>
      </c>
      <c r="E1571" s="1">
        <v>3</v>
      </c>
      <c r="F1571" s="1">
        <v>2.5</v>
      </c>
      <c r="G1571" s="1">
        <v>1</v>
      </c>
      <c r="H1571" s="2">
        <v>1.4043426651657382</v>
      </c>
      <c r="I1571" s="2">
        <v>1.3089106864567892</v>
      </c>
      <c r="J1571" s="6">
        <v>65274</v>
      </c>
      <c r="K1571" s="7">
        <v>3.5404602138676959</v>
      </c>
      <c r="L1571" s="7">
        <v>7.1284125379170877</v>
      </c>
      <c r="M1571">
        <v>47.1</v>
      </c>
      <c r="O1571" s="7"/>
    </row>
    <row r="1572" spans="1:15" x14ac:dyDescent="0.25">
      <c r="A1572" t="s">
        <v>325</v>
      </c>
      <c r="B1572" s="1" t="s">
        <v>308</v>
      </c>
      <c r="C1572" s="1">
        <v>2017</v>
      </c>
      <c r="D1572" s="1">
        <v>2</v>
      </c>
      <c r="E1572" s="1">
        <v>3</v>
      </c>
      <c r="F1572" s="1">
        <v>2.5</v>
      </c>
      <c r="G1572" s="1">
        <v>1</v>
      </c>
      <c r="H1572" s="5">
        <v>1.5768450574441939</v>
      </c>
      <c r="I1572" s="2">
        <v>2.2358630351556092</v>
      </c>
      <c r="J1572" s="3">
        <v>66855</v>
      </c>
      <c r="K1572">
        <v>3.5404602138676959</v>
      </c>
      <c r="L1572">
        <v>7.1284125379170877</v>
      </c>
      <c r="M1572">
        <v>47.3</v>
      </c>
    </row>
    <row r="1573" spans="1:15" x14ac:dyDescent="0.25">
      <c r="A1573" s="8" t="s">
        <v>325</v>
      </c>
      <c r="B1573" s="1" t="s">
        <v>308</v>
      </c>
      <c r="C1573" s="1">
        <v>2018</v>
      </c>
      <c r="D1573" s="1">
        <v>2</v>
      </c>
      <c r="E1573" s="1">
        <v>3</v>
      </c>
      <c r="F1573" s="1">
        <v>2.5</v>
      </c>
      <c r="G1573" s="1">
        <v>1</v>
      </c>
      <c r="H1573" s="2">
        <v>1.6407311979293284</v>
      </c>
      <c r="I1573" s="2">
        <v>1.1611257475055088</v>
      </c>
      <c r="J1573" s="3">
        <v>67449</v>
      </c>
      <c r="K1573">
        <v>3.5404602138676959</v>
      </c>
      <c r="L1573">
        <v>7.1284125379170877</v>
      </c>
      <c r="M1573">
        <v>47.7</v>
      </c>
    </row>
    <row r="1574" spans="1:15" x14ac:dyDescent="0.25">
      <c r="A1574" s="8" t="s">
        <v>326</v>
      </c>
      <c r="B1574" s="1" t="s">
        <v>308</v>
      </c>
      <c r="C1574" s="1">
        <v>2014</v>
      </c>
      <c r="D1574" s="1">
        <v>2</v>
      </c>
      <c r="E1574" s="1">
        <v>3</v>
      </c>
      <c r="F1574" s="1">
        <v>2.5</v>
      </c>
      <c r="G1574" s="1">
        <v>1</v>
      </c>
      <c r="H1574" s="2">
        <v>0.99948436128350537</v>
      </c>
      <c r="I1574" s="2">
        <v>0.94386959634405931</v>
      </c>
      <c r="J1574" s="3">
        <v>19519</v>
      </c>
      <c r="K1574">
        <v>2.9251594834292827</v>
      </c>
      <c r="L1574">
        <v>2.5309890565842021</v>
      </c>
      <c r="M1574">
        <v>5.9</v>
      </c>
    </row>
    <row r="1575" spans="1:15" x14ac:dyDescent="0.25">
      <c r="A1575" s="8" t="s">
        <v>326</v>
      </c>
      <c r="B1575" s="1" t="s">
        <v>308</v>
      </c>
      <c r="C1575" s="1">
        <v>2015</v>
      </c>
      <c r="D1575" s="1">
        <v>2</v>
      </c>
      <c r="E1575" s="1">
        <v>3</v>
      </c>
      <c r="F1575" s="1">
        <v>2.5</v>
      </c>
      <c r="G1575" s="1">
        <v>1</v>
      </c>
      <c r="H1575" s="2">
        <v>1.2803733297300357</v>
      </c>
      <c r="I1575" s="2">
        <v>1.2527139866334962</v>
      </c>
      <c r="J1575" s="3">
        <v>19502</v>
      </c>
      <c r="K1575">
        <v>2.9251594834292827</v>
      </c>
      <c r="L1575">
        <v>2.5309890565842021</v>
      </c>
      <c r="M1575">
        <v>5.9</v>
      </c>
    </row>
    <row r="1576" spans="1:15" x14ac:dyDescent="0.25">
      <c r="A1576" t="s">
        <v>326</v>
      </c>
      <c r="B1576" s="1" t="s">
        <v>308</v>
      </c>
      <c r="C1576" s="1">
        <v>2016</v>
      </c>
      <c r="D1576" s="1">
        <v>2</v>
      </c>
      <c r="E1576" s="1">
        <v>3</v>
      </c>
      <c r="F1576" s="1">
        <v>2.5</v>
      </c>
      <c r="G1576" s="1">
        <v>1</v>
      </c>
      <c r="H1576" s="2">
        <v>1.2903343230815942</v>
      </c>
      <c r="I1576" s="2">
        <v>2.399768895880511</v>
      </c>
      <c r="J1576" s="6">
        <v>19281</v>
      </c>
      <c r="K1576" s="7">
        <v>2.9251594834292827</v>
      </c>
      <c r="L1576" s="7">
        <v>2.5309890565842021</v>
      </c>
      <c r="M1576">
        <v>5.9</v>
      </c>
      <c r="O1576" s="7"/>
    </row>
    <row r="1577" spans="1:15" x14ac:dyDescent="0.25">
      <c r="A1577" t="s">
        <v>326</v>
      </c>
      <c r="B1577" s="1" t="s">
        <v>308</v>
      </c>
      <c r="C1577" s="1">
        <v>2017</v>
      </c>
      <c r="D1577" s="1">
        <v>2</v>
      </c>
      <c r="E1577" s="1">
        <v>3</v>
      </c>
      <c r="F1577" s="1">
        <v>2.5</v>
      </c>
      <c r="G1577" s="1">
        <v>1</v>
      </c>
      <c r="H1577" s="5">
        <v>2.8891854066403133</v>
      </c>
      <c r="I1577" s="2">
        <v>1.3592778395497129</v>
      </c>
      <c r="J1577" s="3">
        <v>19576</v>
      </c>
      <c r="K1577">
        <v>2.9251594834292827</v>
      </c>
      <c r="L1577">
        <v>2.5309890565842021</v>
      </c>
      <c r="M1577">
        <v>5.9</v>
      </c>
    </row>
    <row r="1578" spans="1:15" x14ac:dyDescent="0.25">
      <c r="A1578" s="8" t="s">
        <v>326</v>
      </c>
      <c r="B1578" s="1" t="s">
        <v>308</v>
      </c>
      <c r="C1578" s="1">
        <v>2018</v>
      </c>
      <c r="D1578" s="1">
        <v>2</v>
      </c>
      <c r="E1578" s="1">
        <v>3</v>
      </c>
      <c r="F1578" s="1">
        <v>2.5</v>
      </c>
      <c r="G1578" s="1">
        <v>1</v>
      </c>
      <c r="H1578" s="2">
        <v>1.7079872052862861</v>
      </c>
      <c r="I1578" s="2">
        <v>1.3725397638520738</v>
      </c>
      <c r="J1578" s="3">
        <v>19713</v>
      </c>
      <c r="K1578">
        <v>2.9251594834292827</v>
      </c>
      <c r="L1578">
        <v>2.5309890565842021</v>
      </c>
      <c r="M1578">
        <v>5.9</v>
      </c>
    </row>
    <row r="1579" spans="1:15" x14ac:dyDescent="0.25">
      <c r="A1579" s="8" t="s">
        <v>327</v>
      </c>
      <c r="B1579" s="1" t="s">
        <v>308</v>
      </c>
      <c r="C1579" s="1">
        <v>2014</v>
      </c>
      <c r="D1579" s="1">
        <v>2</v>
      </c>
      <c r="E1579" s="1">
        <v>3</v>
      </c>
      <c r="F1579" s="1">
        <v>2.5</v>
      </c>
      <c r="G1579" s="1">
        <v>1</v>
      </c>
      <c r="H1579" s="2">
        <v>1.2934180682693646</v>
      </c>
      <c r="I1579" s="2">
        <v>0.92819257581886505</v>
      </c>
      <c r="J1579" s="3">
        <v>12819</v>
      </c>
      <c r="K1579">
        <v>2.4491069339365104</v>
      </c>
      <c r="L1579">
        <v>1.5833398330863426</v>
      </c>
      <c r="M1579">
        <v>2.5</v>
      </c>
    </row>
    <row r="1580" spans="1:15" x14ac:dyDescent="0.25">
      <c r="A1580" s="8" t="s">
        <v>327</v>
      </c>
      <c r="B1580" s="1" t="s">
        <v>308</v>
      </c>
      <c r="C1580" s="1">
        <v>2015</v>
      </c>
      <c r="D1580" s="1">
        <v>2</v>
      </c>
      <c r="E1580" s="1">
        <v>3</v>
      </c>
      <c r="F1580" s="1">
        <v>2.5</v>
      </c>
      <c r="G1580" s="1">
        <v>1</v>
      </c>
      <c r="H1580" s="2">
        <v>0.9099279484618481</v>
      </c>
      <c r="I1580" s="2">
        <v>1.2038202461611209</v>
      </c>
      <c r="J1580" s="3">
        <v>12873</v>
      </c>
      <c r="K1580">
        <v>2.4491069339365104</v>
      </c>
      <c r="L1580">
        <v>1.5833398330863426</v>
      </c>
      <c r="M1580">
        <v>2.5</v>
      </c>
    </row>
    <row r="1581" spans="1:15" x14ac:dyDescent="0.25">
      <c r="A1581" t="s">
        <v>327</v>
      </c>
      <c r="B1581" s="1" t="s">
        <v>308</v>
      </c>
      <c r="C1581" s="1">
        <v>2016</v>
      </c>
      <c r="D1581" s="1">
        <v>2</v>
      </c>
      <c r="E1581" s="1">
        <v>3</v>
      </c>
      <c r="F1581" s="1">
        <v>2.5</v>
      </c>
      <c r="G1581" s="1">
        <v>1</v>
      </c>
      <c r="H1581" s="2">
        <v>1.6802116462409289</v>
      </c>
      <c r="I1581" s="2">
        <v>1.841759879420642</v>
      </c>
      <c r="J1581" s="6">
        <v>12821</v>
      </c>
      <c r="K1581" s="7">
        <v>2.4491069339365104</v>
      </c>
      <c r="L1581" s="7">
        <v>1.5833398330863426</v>
      </c>
      <c r="M1581">
        <v>2.5</v>
      </c>
      <c r="O1581" s="7"/>
    </row>
    <row r="1582" spans="1:15" x14ac:dyDescent="0.25">
      <c r="A1582" t="s">
        <v>327</v>
      </c>
      <c r="B1582" s="1" t="s">
        <v>308</v>
      </c>
      <c r="C1582" s="1">
        <v>2017</v>
      </c>
      <c r="D1582" s="1">
        <v>2</v>
      </c>
      <c r="E1582" s="1">
        <v>3</v>
      </c>
      <c r="F1582" s="1">
        <v>2.5</v>
      </c>
      <c r="G1582" s="1">
        <v>1</v>
      </c>
      <c r="H1582" s="5">
        <v>1.1364958998980483</v>
      </c>
      <c r="I1582" s="2">
        <v>1.1774662377843566</v>
      </c>
      <c r="J1582" s="3">
        <v>13084</v>
      </c>
      <c r="K1582">
        <v>2.4491069339365104</v>
      </c>
      <c r="L1582">
        <v>1.5833398330863426</v>
      </c>
      <c r="M1582">
        <v>2.5</v>
      </c>
    </row>
    <row r="1583" spans="1:15" x14ac:dyDescent="0.25">
      <c r="A1583" s="8" t="s">
        <v>327</v>
      </c>
      <c r="B1583" s="1" t="s">
        <v>308</v>
      </c>
      <c r="C1583" s="1">
        <v>2018</v>
      </c>
      <c r="D1583" s="1">
        <v>2</v>
      </c>
      <c r="E1583" s="1">
        <v>3</v>
      </c>
      <c r="F1583" s="1">
        <v>2.5</v>
      </c>
      <c r="G1583" s="1">
        <v>1</v>
      </c>
      <c r="H1583" s="2">
        <v>1.5403338357818539</v>
      </c>
      <c r="I1583" s="2">
        <v>1.2041510322636879</v>
      </c>
      <c r="J1583" s="3">
        <v>13300</v>
      </c>
      <c r="K1583">
        <v>2.4491069339365104</v>
      </c>
      <c r="L1583">
        <v>1.5833398330863426</v>
      </c>
      <c r="M1583">
        <v>2.6</v>
      </c>
    </row>
    <row r="1584" spans="1:15" x14ac:dyDescent="0.25">
      <c r="A1584" s="8" t="s">
        <v>328</v>
      </c>
      <c r="B1584" s="1" t="s">
        <v>308</v>
      </c>
      <c r="C1584" s="1">
        <v>2014</v>
      </c>
      <c r="D1584" s="1">
        <v>2</v>
      </c>
      <c r="E1584" s="1">
        <v>3</v>
      </c>
      <c r="F1584" s="1">
        <v>2.5</v>
      </c>
      <c r="G1584" s="1">
        <v>1</v>
      </c>
      <c r="H1584" s="2">
        <v>2.4822210862997558</v>
      </c>
      <c r="I1584" s="2">
        <v>1.1031936072407318</v>
      </c>
      <c r="J1584" s="3">
        <v>13981</v>
      </c>
      <c r="K1584">
        <v>4.1692681234824835</v>
      </c>
      <c r="L1584">
        <v>2.1158515435310439</v>
      </c>
      <c r="M1584">
        <v>23.9</v>
      </c>
    </row>
    <row r="1585" spans="1:15" x14ac:dyDescent="0.25">
      <c r="A1585" s="8" t="s">
        <v>328</v>
      </c>
      <c r="B1585" s="1" t="s">
        <v>308</v>
      </c>
      <c r="C1585" s="1">
        <v>2015</v>
      </c>
      <c r="D1585" s="1">
        <v>2</v>
      </c>
      <c r="E1585" s="1">
        <v>3</v>
      </c>
      <c r="F1585" s="1">
        <v>2.5</v>
      </c>
      <c r="G1585" s="1">
        <v>1</v>
      </c>
      <c r="H1585" s="2">
        <v>1.6321947190254804</v>
      </c>
      <c r="I1585" s="2">
        <v>1.4006161252250309</v>
      </c>
      <c r="J1585" s="3">
        <v>14200</v>
      </c>
      <c r="K1585">
        <v>4.1692681234824835</v>
      </c>
      <c r="L1585">
        <v>2.1158515435310439</v>
      </c>
      <c r="M1585">
        <v>24.3</v>
      </c>
    </row>
    <row r="1586" spans="1:15" x14ac:dyDescent="0.25">
      <c r="A1586" t="s">
        <v>328</v>
      </c>
      <c r="B1586" s="1" t="s">
        <v>308</v>
      </c>
      <c r="C1586" s="1">
        <v>2016</v>
      </c>
      <c r="D1586" s="1">
        <v>2</v>
      </c>
      <c r="E1586" s="1">
        <v>3</v>
      </c>
      <c r="F1586" s="1">
        <v>2.5</v>
      </c>
      <c r="G1586" s="1">
        <v>1</v>
      </c>
      <c r="H1586" s="2">
        <v>1.3571020480673623</v>
      </c>
      <c r="I1586" s="2">
        <v>1.7866972193245849</v>
      </c>
      <c r="J1586" s="6">
        <v>14415</v>
      </c>
      <c r="K1586" s="7">
        <v>4.1692681234824835</v>
      </c>
      <c r="L1586" s="7">
        <v>2.1158515435310439</v>
      </c>
      <c r="M1586">
        <v>24.8</v>
      </c>
      <c r="O1586" s="7"/>
    </row>
    <row r="1587" spans="1:15" x14ac:dyDescent="0.25">
      <c r="A1587" t="s">
        <v>328</v>
      </c>
      <c r="B1587" s="1" t="s">
        <v>308</v>
      </c>
      <c r="C1587" s="1">
        <v>2017</v>
      </c>
      <c r="D1587" s="1">
        <v>2</v>
      </c>
      <c r="E1587" s="1">
        <v>3</v>
      </c>
      <c r="F1587" s="1">
        <v>2.5</v>
      </c>
      <c r="G1587" s="1">
        <v>1</v>
      </c>
      <c r="H1587" s="5">
        <v>1.6796649578482539</v>
      </c>
      <c r="I1587" s="2">
        <v>1.1455205263005224</v>
      </c>
      <c r="J1587" s="3">
        <v>14774</v>
      </c>
      <c r="K1587">
        <v>4.1692681234824835</v>
      </c>
      <c r="L1587">
        <v>2.1158515435310439</v>
      </c>
      <c r="M1587">
        <v>25.3</v>
      </c>
    </row>
    <row r="1588" spans="1:15" x14ac:dyDescent="0.25">
      <c r="A1588" s="8" t="s">
        <v>328</v>
      </c>
      <c r="B1588" s="1" t="s">
        <v>308</v>
      </c>
      <c r="C1588" s="1">
        <v>2018</v>
      </c>
      <c r="D1588" s="1">
        <v>2</v>
      </c>
      <c r="E1588" s="1">
        <v>3</v>
      </c>
      <c r="F1588" s="1">
        <v>2.5</v>
      </c>
      <c r="G1588" s="1">
        <v>1</v>
      </c>
      <c r="H1588" s="2">
        <v>1.3141183290159357</v>
      </c>
      <c r="I1588" s="2">
        <v>0.94269854140021203</v>
      </c>
      <c r="J1588" s="3">
        <v>15218</v>
      </c>
      <c r="K1588">
        <v>4.1692681234824835</v>
      </c>
      <c r="L1588">
        <v>2.1158515435310439</v>
      </c>
      <c r="M1588">
        <v>26.1</v>
      </c>
    </row>
    <row r="1589" spans="1:15" x14ac:dyDescent="0.25">
      <c r="A1589" s="8" t="s">
        <v>329</v>
      </c>
      <c r="B1589" s="1" t="s">
        <v>308</v>
      </c>
      <c r="C1589" s="1">
        <v>2014</v>
      </c>
      <c r="D1589" s="1">
        <v>2</v>
      </c>
      <c r="E1589" s="1">
        <v>3</v>
      </c>
      <c r="F1589" s="1">
        <v>2.5</v>
      </c>
      <c r="G1589" s="1">
        <v>1</v>
      </c>
      <c r="H1589" s="2">
        <v>0.904686354779069</v>
      </c>
      <c r="I1589" s="2">
        <v>0.87107608490209365</v>
      </c>
      <c r="J1589" s="3">
        <v>6139</v>
      </c>
      <c r="K1589">
        <v>5.6272757365110895</v>
      </c>
      <c r="L1589">
        <v>1.2247600132406489</v>
      </c>
      <c r="M1589">
        <v>2.2999999999999998</v>
      </c>
    </row>
    <row r="1590" spans="1:15" x14ac:dyDescent="0.25">
      <c r="A1590" s="8" t="s">
        <v>329</v>
      </c>
      <c r="B1590" s="1" t="s">
        <v>308</v>
      </c>
      <c r="C1590" s="1">
        <v>2015</v>
      </c>
      <c r="D1590" s="1">
        <v>3</v>
      </c>
      <c r="E1590" s="1">
        <v>3</v>
      </c>
      <c r="F1590" s="1">
        <v>3</v>
      </c>
      <c r="G1590" s="1">
        <v>0</v>
      </c>
      <c r="H1590" s="2">
        <v>0.98873787356813014</v>
      </c>
      <c r="I1590" s="2">
        <v>1.5335704218959574</v>
      </c>
      <c r="J1590" s="3">
        <v>6096</v>
      </c>
      <c r="K1590">
        <v>5.6272757365110895</v>
      </c>
      <c r="L1590">
        <v>1.2247600132406489</v>
      </c>
      <c r="M1590">
        <v>2.2999999999999998</v>
      </c>
    </row>
    <row r="1591" spans="1:15" x14ac:dyDescent="0.25">
      <c r="A1591" t="s">
        <v>329</v>
      </c>
      <c r="B1591" s="1" t="s">
        <v>308</v>
      </c>
      <c r="C1591" s="1">
        <v>2016</v>
      </c>
      <c r="D1591" s="1">
        <v>2</v>
      </c>
      <c r="E1591" s="1">
        <v>3</v>
      </c>
      <c r="F1591" s="1">
        <v>2.5</v>
      </c>
      <c r="G1591" s="1">
        <v>1</v>
      </c>
      <c r="H1591" s="2">
        <v>1.6715051802157241</v>
      </c>
      <c r="I1591" s="2">
        <v>1.0103941173576902</v>
      </c>
      <c r="J1591" s="6">
        <v>6042</v>
      </c>
      <c r="K1591" s="7">
        <v>5.6272757365110895</v>
      </c>
      <c r="L1591" s="7">
        <v>1.2247600132406489</v>
      </c>
      <c r="M1591">
        <v>2.2999999999999998</v>
      </c>
      <c r="O1591" s="7"/>
    </row>
    <row r="1592" spans="1:15" x14ac:dyDescent="0.25">
      <c r="A1592" t="s">
        <v>329</v>
      </c>
      <c r="B1592" s="1" t="s">
        <v>308</v>
      </c>
      <c r="C1592" s="1">
        <v>2017</v>
      </c>
      <c r="D1592" s="1">
        <v>2</v>
      </c>
      <c r="E1592" s="1">
        <v>3</v>
      </c>
      <c r="F1592" s="1">
        <v>2.5</v>
      </c>
      <c r="G1592" s="1">
        <v>1</v>
      </c>
      <c r="H1592" s="5">
        <v>0.97246562573509532</v>
      </c>
      <c r="I1592" s="2">
        <v>1.3450273853923504</v>
      </c>
      <c r="J1592" s="3">
        <v>6052</v>
      </c>
      <c r="K1592">
        <v>5.6272757365110895</v>
      </c>
      <c r="L1592">
        <v>1.2247600132406489</v>
      </c>
      <c r="M1592">
        <v>2.2999999999999998</v>
      </c>
    </row>
    <row r="1593" spans="1:15" x14ac:dyDescent="0.25">
      <c r="A1593" s="8" t="s">
        <v>329</v>
      </c>
      <c r="B1593" s="1" t="s">
        <v>308</v>
      </c>
      <c r="C1593" s="1">
        <v>2018</v>
      </c>
      <c r="D1593" s="1">
        <v>2</v>
      </c>
      <c r="E1593" s="1">
        <v>3</v>
      </c>
      <c r="F1593" s="1">
        <v>2.5</v>
      </c>
      <c r="G1593" s="1">
        <v>1</v>
      </c>
      <c r="H1593" s="2">
        <v>1.355569963042043</v>
      </c>
      <c r="I1593" s="2">
        <v>1.1372013400324517</v>
      </c>
      <c r="J1593" s="3">
        <v>6118</v>
      </c>
      <c r="K1593">
        <v>5.6272757365110895</v>
      </c>
      <c r="L1593">
        <v>1.2247600132406489</v>
      </c>
      <c r="M1593">
        <v>2.2999999999999998</v>
      </c>
    </row>
    <row r="1594" spans="1:15" x14ac:dyDescent="0.25">
      <c r="A1594" s="8" t="s">
        <v>330</v>
      </c>
      <c r="B1594" s="1" t="s">
        <v>308</v>
      </c>
      <c r="C1594" s="1">
        <v>2014</v>
      </c>
      <c r="D1594" s="1">
        <v>3</v>
      </c>
      <c r="E1594" s="1">
        <v>3</v>
      </c>
      <c r="F1594" s="1">
        <v>3</v>
      </c>
      <c r="G1594" s="1">
        <v>0</v>
      </c>
      <c r="H1594" s="2">
        <v>1.5098039215686274</v>
      </c>
      <c r="I1594" s="2">
        <v>1.5466690494439719</v>
      </c>
      <c r="J1594" s="3">
        <v>2389</v>
      </c>
      <c r="K1594">
        <v>5.1011804384485666</v>
      </c>
      <c r="L1594">
        <v>1.854974704890388</v>
      </c>
      <c r="M1594">
        <v>3.6</v>
      </c>
    </row>
    <row r="1595" spans="1:15" x14ac:dyDescent="0.25">
      <c r="A1595" s="8" t="s">
        <v>330</v>
      </c>
      <c r="B1595" s="1" t="s">
        <v>308</v>
      </c>
      <c r="C1595" s="1">
        <v>2015</v>
      </c>
      <c r="D1595" s="1">
        <v>3</v>
      </c>
      <c r="E1595" s="1">
        <v>3</v>
      </c>
      <c r="F1595" s="1">
        <v>3</v>
      </c>
      <c r="G1595" s="1">
        <v>0</v>
      </c>
      <c r="H1595" s="2">
        <v>1.7817307692307693</v>
      </c>
      <c r="I1595" s="2">
        <v>1.2258727248161516</v>
      </c>
      <c r="J1595" s="3">
        <v>2391</v>
      </c>
      <c r="K1595">
        <v>5.1011804384485666</v>
      </c>
      <c r="L1595">
        <v>1.854974704890388</v>
      </c>
      <c r="M1595">
        <v>3.6</v>
      </c>
    </row>
    <row r="1596" spans="1:15" x14ac:dyDescent="0.25">
      <c r="A1596" t="s">
        <v>330</v>
      </c>
      <c r="B1596" s="1" t="s">
        <v>308</v>
      </c>
      <c r="C1596" s="1">
        <v>2016</v>
      </c>
      <c r="D1596" s="1">
        <v>3</v>
      </c>
      <c r="E1596" s="1">
        <v>3</v>
      </c>
      <c r="F1596" s="1">
        <v>3</v>
      </c>
      <c r="G1596" s="1">
        <v>0</v>
      </c>
      <c r="H1596" s="2">
        <v>1.1163604549431321</v>
      </c>
      <c r="I1596" s="2">
        <v>1.2175893845006796</v>
      </c>
      <c r="J1596" s="6">
        <v>2372</v>
      </c>
      <c r="K1596" s="7">
        <v>5.1011804384485666</v>
      </c>
      <c r="L1596" s="7">
        <v>1.854974704890388</v>
      </c>
      <c r="M1596">
        <v>3.6</v>
      </c>
      <c r="O1596" s="7"/>
    </row>
    <row r="1597" spans="1:15" x14ac:dyDescent="0.25">
      <c r="A1597" t="s">
        <v>330</v>
      </c>
      <c r="B1597" s="1" t="s">
        <v>308</v>
      </c>
      <c r="C1597" s="1">
        <v>2017</v>
      </c>
      <c r="D1597" s="1">
        <v>3</v>
      </c>
      <c r="E1597" s="1">
        <v>3</v>
      </c>
      <c r="F1597" s="1">
        <v>3</v>
      </c>
      <c r="G1597" s="1">
        <v>0</v>
      </c>
      <c r="H1597" s="5">
        <v>2.2965165675446051</v>
      </c>
      <c r="I1597" s="2">
        <v>1.3426946369353749</v>
      </c>
      <c r="J1597" s="3">
        <v>2389</v>
      </c>
      <c r="K1597">
        <v>5.1011804384485666</v>
      </c>
      <c r="L1597">
        <v>1.854974704890388</v>
      </c>
      <c r="M1597">
        <v>3.6</v>
      </c>
    </row>
    <row r="1598" spans="1:15" x14ac:dyDescent="0.25">
      <c r="A1598" s="8" t="s">
        <v>330</v>
      </c>
      <c r="B1598" s="1" t="s">
        <v>308</v>
      </c>
      <c r="C1598" s="1">
        <v>2018</v>
      </c>
      <c r="D1598" s="1">
        <v>3</v>
      </c>
      <c r="E1598" s="1">
        <v>3</v>
      </c>
      <c r="F1598" s="1">
        <v>3</v>
      </c>
      <c r="G1598" s="1">
        <v>0</v>
      </c>
      <c r="H1598" s="2">
        <v>1.4169611307420495</v>
      </c>
      <c r="I1598" s="2">
        <v>1.103309966796687</v>
      </c>
      <c r="J1598" s="3">
        <v>2404</v>
      </c>
      <c r="K1598">
        <v>5.1011804384485666</v>
      </c>
      <c r="L1598">
        <v>1.854974704890388</v>
      </c>
      <c r="M1598">
        <v>3.6</v>
      </c>
    </row>
    <row r="1599" spans="1:15" x14ac:dyDescent="0.25">
      <c r="A1599" s="8" t="s">
        <v>331</v>
      </c>
      <c r="B1599" s="1" t="s">
        <v>308</v>
      </c>
      <c r="C1599" s="1">
        <v>2014</v>
      </c>
      <c r="D1599" s="1">
        <v>3</v>
      </c>
      <c r="E1599" s="1">
        <v>3</v>
      </c>
      <c r="F1599" s="1">
        <v>3</v>
      </c>
      <c r="G1599" s="1">
        <v>0</v>
      </c>
      <c r="H1599" s="2">
        <v>0.94886047940573903</v>
      </c>
      <c r="I1599" s="2">
        <v>0.78367481910242909</v>
      </c>
      <c r="J1599" s="3">
        <v>14014</v>
      </c>
      <c r="K1599">
        <v>7.6243093922651939</v>
      </c>
      <c r="L1599">
        <v>1.4880294659300184</v>
      </c>
      <c r="M1599">
        <v>4</v>
      </c>
    </row>
    <row r="1600" spans="1:15" x14ac:dyDescent="0.25">
      <c r="A1600" s="8" t="s">
        <v>331</v>
      </c>
      <c r="B1600" s="1" t="s">
        <v>308</v>
      </c>
      <c r="C1600" s="1">
        <v>2015</v>
      </c>
      <c r="D1600" s="1">
        <v>4</v>
      </c>
      <c r="E1600" s="1">
        <v>4</v>
      </c>
      <c r="F1600" s="1">
        <v>4</v>
      </c>
      <c r="G1600" s="1">
        <v>0</v>
      </c>
      <c r="H1600" s="2">
        <v>1.0077846843510974</v>
      </c>
      <c r="I1600" s="2">
        <v>2.5567689369489544</v>
      </c>
      <c r="J1600" s="3">
        <v>13903</v>
      </c>
      <c r="K1600">
        <v>7.6243093922651939</v>
      </c>
      <c r="L1600">
        <v>1.4880294659300184</v>
      </c>
      <c r="M1600">
        <v>3.9</v>
      </c>
    </row>
    <row r="1601" spans="1:15" x14ac:dyDescent="0.25">
      <c r="A1601" t="s">
        <v>331</v>
      </c>
      <c r="B1601" s="1" t="s">
        <v>308</v>
      </c>
      <c r="C1601" s="1">
        <v>2016</v>
      </c>
      <c r="D1601" s="1">
        <v>3</v>
      </c>
      <c r="E1601" s="1">
        <v>3</v>
      </c>
      <c r="F1601" s="1">
        <v>3</v>
      </c>
      <c r="G1601" s="1">
        <v>0</v>
      </c>
      <c r="H1601" s="2">
        <v>1.3337233821724535</v>
      </c>
      <c r="I1601" s="2">
        <v>0.99229472549977971</v>
      </c>
      <c r="J1601" s="6">
        <v>13575</v>
      </c>
      <c r="K1601" s="7">
        <v>7.6243093922651939</v>
      </c>
      <c r="L1601" s="7">
        <v>1.4880294659300184</v>
      </c>
      <c r="M1601">
        <v>3.9</v>
      </c>
      <c r="O1601" s="7"/>
    </row>
    <row r="1602" spans="1:15" x14ac:dyDescent="0.25">
      <c r="A1602" t="s">
        <v>331</v>
      </c>
      <c r="B1602" s="1" t="s">
        <v>308</v>
      </c>
      <c r="C1602" s="1">
        <v>2017</v>
      </c>
      <c r="D1602" s="1">
        <v>3</v>
      </c>
      <c r="E1602" s="1">
        <v>3</v>
      </c>
      <c r="F1602" s="1">
        <v>3</v>
      </c>
      <c r="G1602" s="1">
        <v>0</v>
      </c>
      <c r="H1602" s="5">
        <v>1.9865049215163482</v>
      </c>
      <c r="I1602" s="2">
        <v>1.1936600889296471</v>
      </c>
      <c r="J1602" s="3">
        <v>13756</v>
      </c>
      <c r="K1602">
        <v>7.6243093922651939</v>
      </c>
      <c r="L1602">
        <v>1.4880294659300184</v>
      </c>
      <c r="M1602">
        <v>3.9</v>
      </c>
    </row>
    <row r="1603" spans="1:15" x14ac:dyDescent="0.25">
      <c r="A1603" s="8" t="s">
        <v>331</v>
      </c>
      <c r="B1603" s="1" t="s">
        <v>308</v>
      </c>
      <c r="C1603" s="1">
        <v>2018</v>
      </c>
      <c r="D1603" s="1">
        <v>3</v>
      </c>
      <c r="E1603" s="1">
        <v>3</v>
      </c>
      <c r="F1603" s="1">
        <v>3</v>
      </c>
      <c r="G1603" s="1">
        <v>0</v>
      </c>
      <c r="H1603" s="2">
        <v>1.0876642478917435</v>
      </c>
      <c r="I1603" s="2">
        <v>1.1020378706185396</v>
      </c>
      <c r="J1603" s="3">
        <v>13800</v>
      </c>
      <c r="K1603">
        <v>7.6243093922651939</v>
      </c>
      <c r="L1603">
        <v>1.4880294659300184</v>
      </c>
      <c r="M1603">
        <v>3.9</v>
      </c>
    </row>
    <row r="1604" spans="1:15" x14ac:dyDescent="0.25">
      <c r="A1604" s="8" t="s">
        <v>332</v>
      </c>
      <c r="B1604" s="1" t="s">
        <v>308</v>
      </c>
      <c r="C1604" s="1">
        <v>2014</v>
      </c>
      <c r="D1604" s="1">
        <v>4</v>
      </c>
      <c r="E1604" s="1">
        <v>4</v>
      </c>
      <c r="F1604" s="1">
        <v>4</v>
      </c>
      <c r="G1604" s="1">
        <v>0</v>
      </c>
      <c r="H1604" s="2">
        <v>1.3977342982001313</v>
      </c>
      <c r="I1604" s="2">
        <v>0.90882041213789611</v>
      </c>
      <c r="J1604" s="3">
        <v>4392</v>
      </c>
      <c r="K1604">
        <v>7.2736030828516371</v>
      </c>
      <c r="L1604">
        <v>2.480732177263969</v>
      </c>
      <c r="M1604">
        <v>0.5</v>
      </c>
    </row>
    <row r="1605" spans="1:15" x14ac:dyDescent="0.25">
      <c r="A1605" s="8" t="s">
        <v>332</v>
      </c>
      <c r="B1605" s="1" t="s">
        <v>308</v>
      </c>
      <c r="C1605" s="1">
        <v>2015</v>
      </c>
      <c r="D1605" s="1">
        <v>2</v>
      </c>
      <c r="E1605" s="1">
        <v>3</v>
      </c>
      <c r="F1605" s="1">
        <v>2.5</v>
      </c>
      <c r="G1605" s="1">
        <v>1</v>
      </c>
      <c r="H1605" s="2">
        <v>0.87318301324559988</v>
      </c>
      <c r="I1605" s="2">
        <v>0.9197191402605881</v>
      </c>
      <c r="J1605" s="3">
        <v>4299</v>
      </c>
      <c r="K1605">
        <v>7.2736030828516371</v>
      </c>
      <c r="L1605">
        <v>2.480732177263969</v>
      </c>
      <c r="M1605">
        <v>0.4</v>
      </c>
    </row>
    <row r="1606" spans="1:15" x14ac:dyDescent="0.25">
      <c r="A1606" t="s">
        <v>332</v>
      </c>
      <c r="B1606" s="1" t="s">
        <v>308</v>
      </c>
      <c r="C1606" s="1">
        <v>2016</v>
      </c>
      <c r="D1606" s="1">
        <v>4</v>
      </c>
      <c r="E1606" s="1">
        <v>4</v>
      </c>
      <c r="F1606" s="1">
        <v>4</v>
      </c>
      <c r="G1606" s="1">
        <v>0</v>
      </c>
      <c r="H1606" s="2">
        <v>0.58688573074493677</v>
      </c>
      <c r="I1606" s="2">
        <v>1.4342481718788156</v>
      </c>
      <c r="J1606" s="6">
        <v>4152</v>
      </c>
      <c r="K1606" s="7">
        <v>7.2736030828516371</v>
      </c>
      <c r="L1606" s="7">
        <v>2.480732177263969</v>
      </c>
      <c r="M1606">
        <v>0.4</v>
      </c>
      <c r="O1606" s="7"/>
    </row>
    <row r="1607" spans="1:15" x14ac:dyDescent="0.25">
      <c r="A1607" t="s">
        <v>332</v>
      </c>
      <c r="B1607" s="1" t="s">
        <v>308</v>
      </c>
      <c r="C1607" s="1">
        <v>2017</v>
      </c>
      <c r="D1607" s="1">
        <v>4</v>
      </c>
      <c r="E1607" s="1">
        <v>4</v>
      </c>
      <c r="F1607" s="1">
        <v>4</v>
      </c>
      <c r="G1607" s="1">
        <v>0</v>
      </c>
      <c r="H1607" s="5">
        <v>0.9974183399823745</v>
      </c>
      <c r="I1607" s="2">
        <v>1.1732232014458959</v>
      </c>
      <c r="J1607" s="3">
        <v>4162</v>
      </c>
      <c r="K1607">
        <v>7.2736030828516371</v>
      </c>
      <c r="L1607">
        <v>2.480732177263969</v>
      </c>
      <c r="M1607">
        <v>0.4</v>
      </c>
    </row>
    <row r="1608" spans="1:15" x14ac:dyDescent="0.25">
      <c r="A1608" s="8" t="s">
        <v>332</v>
      </c>
      <c r="B1608" s="1" t="s">
        <v>308</v>
      </c>
      <c r="C1608" s="1">
        <v>2018</v>
      </c>
      <c r="D1608" s="1">
        <v>4</v>
      </c>
      <c r="E1608" s="1">
        <v>4</v>
      </c>
      <c r="F1608" s="1">
        <v>4</v>
      </c>
      <c r="G1608" s="1">
        <v>0</v>
      </c>
      <c r="H1608" s="2">
        <v>1.4654769960941987</v>
      </c>
      <c r="I1608" s="2">
        <v>1.1643050987046104</v>
      </c>
      <c r="J1608" s="3">
        <v>4167</v>
      </c>
      <c r="K1608">
        <v>7.2736030828516371</v>
      </c>
      <c r="L1608">
        <v>2.480732177263969</v>
      </c>
      <c r="M1608">
        <v>0.4</v>
      </c>
    </row>
    <row r="1609" spans="1:15" x14ac:dyDescent="0.25">
      <c r="A1609" s="8" t="s">
        <v>333</v>
      </c>
      <c r="B1609" s="1" t="s">
        <v>308</v>
      </c>
      <c r="C1609" s="1">
        <v>2014</v>
      </c>
      <c r="D1609" s="1">
        <v>2</v>
      </c>
      <c r="E1609" s="1">
        <v>3</v>
      </c>
      <c r="F1609" s="1">
        <v>2.5</v>
      </c>
      <c r="G1609" s="1">
        <v>1</v>
      </c>
      <c r="H1609" s="2">
        <v>1.2408895292135658</v>
      </c>
      <c r="I1609" s="2">
        <v>1.0392666925447236</v>
      </c>
      <c r="J1609" s="3">
        <v>22921</v>
      </c>
      <c r="K1609">
        <v>2.398873189841102</v>
      </c>
      <c r="L1609">
        <v>3.9834499757911881</v>
      </c>
      <c r="M1609">
        <v>33.200000000000003</v>
      </c>
    </row>
    <row r="1610" spans="1:15" x14ac:dyDescent="0.25">
      <c r="A1610" s="8" t="s">
        <v>333</v>
      </c>
      <c r="B1610" s="1" t="s">
        <v>308</v>
      </c>
      <c r="C1610" s="1">
        <v>2015</v>
      </c>
      <c r="D1610" s="1">
        <v>2</v>
      </c>
      <c r="E1610" s="1">
        <v>2</v>
      </c>
      <c r="F1610" s="1">
        <v>2</v>
      </c>
      <c r="G1610" s="1">
        <v>0</v>
      </c>
      <c r="H1610" s="2">
        <v>1.8953149043163995</v>
      </c>
      <c r="I1610" s="2">
        <v>1.1959954151426231</v>
      </c>
      <c r="J1610" s="3">
        <v>23007</v>
      </c>
      <c r="K1610">
        <v>2.398873189841102</v>
      </c>
      <c r="L1610">
        <v>3.9834499757911881</v>
      </c>
      <c r="M1610">
        <v>33.299999999999997</v>
      </c>
    </row>
    <row r="1611" spans="1:15" x14ac:dyDescent="0.25">
      <c r="A1611" t="s">
        <v>333</v>
      </c>
      <c r="B1611" s="1" t="s">
        <v>308</v>
      </c>
      <c r="C1611" s="1">
        <v>2016</v>
      </c>
      <c r="D1611" s="1">
        <v>2</v>
      </c>
      <c r="E1611" s="1">
        <v>3</v>
      </c>
      <c r="F1611" s="1">
        <v>2.5</v>
      </c>
      <c r="G1611" s="1">
        <v>1</v>
      </c>
      <c r="H1611" s="2">
        <v>1.2923997639768212</v>
      </c>
      <c r="I1611" s="2">
        <v>1.2744479916237328</v>
      </c>
      <c r="J1611" s="6">
        <v>22719</v>
      </c>
      <c r="K1611" s="7">
        <v>2.398873189841102</v>
      </c>
      <c r="L1611" s="7">
        <v>3.9834499757911881</v>
      </c>
      <c r="M1611">
        <v>33.4</v>
      </c>
      <c r="O1611" s="7"/>
    </row>
    <row r="1612" spans="1:15" x14ac:dyDescent="0.25">
      <c r="A1612" t="s">
        <v>333</v>
      </c>
      <c r="B1612" s="1" t="s">
        <v>308</v>
      </c>
      <c r="C1612" s="1">
        <v>2017</v>
      </c>
      <c r="D1612" s="1">
        <v>2</v>
      </c>
      <c r="E1612" s="1">
        <v>3</v>
      </c>
      <c r="F1612" s="1">
        <v>2.5</v>
      </c>
      <c r="G1612" s="1">
        <v>1</v>
      </c>
      <c r="H1612" s="5">
        <v>1.3235731592181013</v>
      </c>
      <c r="I1612" s="2">
        <v>2.5736692312125262</v>
      </c>
      <c r="J1612" s="3">
        <v>23535</v>
      </c>
      <c r="K1612">
        <v>2.398873189841102</v>
      </c>
      <c r="L1612">
        <v>3.9834499757911881</v>
      </c>
      <c r="M1612">
        <v>34.1</v>
      </c>
    </row>
    <row r="1613" spans="1:15" x14ac:dyDescent="0.25">
      <c r="A1613" s="8" t="s">
        <v>333</v>
      </c>
      <c r="B1613" s="1" t="s">
        <v>308</v>
      </c>
      <c r="C1613" s="1">
        <v>2018</v>
      </c>
      <c r="D1613" s="1">
        <v>2</v>
      </c>
      <c r="E1613" s="1">
        <v>3</v>
      </c>
      <c r="F1613" s="1">
        <v>2.5</v>
      </c>
      <c r="G1613" s="1">
        <v>1</v>
      </c>
      <c r="I1613" s="2">
        <v>1.2788349504301513</v>
      </c>
      <c r="J1613" s="3">
        <v>23769</v>
      </c>
      <c r="K1613">
        <v>2.398873189841102</v>
      </c>
      <c r="L1613">
        <v>3.9834499757911881</v>
      </c>
      <c r="M1613">
        <v>34.4</v>
      </c>
    </row>
    <row r="1614" spans="1:15" x14ac:dyDescent="0.25">
      <c r="A1614" s="8" t="s">
        <v>334</v>
      </c>
      <c r="B1614" s="1" t="s">
        <v>335</v>
      </c>
      <c r="C1614" s="1">
        <v>2014</v>
      </c>
      <c r="D1614" s="1">
        <v>2</v>
      </c>
      <c r="E1614" s="1">
        <v>3</v>
      </c>
      <c r="F1614" s="1">
        <v>2.5</v>
      </c>
      <c r="G1614" s="1">
        <v>1</v>
      </c>
      <c r="J1614" s="3">
        <v>12355</v>
      </c>
      <c r="K1614">
        <v>0.81880826915281724</v>
      </c>
      <c r="L1614">
        <v>7.6854479124442641</v>
      </c>
      <c r="M1614">
        <v>2.6</v>
      </c>
    </row>
    <row r="1615" spans="1:15" x14ac:dyDescent="0.25">
      <c r="A1615" s="8" t="s">
        <v>334</v>
      </c>
      <c r="B1615" s="1" t="s">
        <v>335</v>
      </c>
      <c r="C1615" s="1">
        <v>2015</v>
      </c>
      <c r="D1615" s="1">
        <v>2</v>
      </c>
      <c r="E1615" s="1">
        <v>3</v>
      </c>
      <c r="F1615" s="1">
        <v>2.5</v>
      </c>
      <c r="G1615" s="1">
        <v>1</v>
      </c>
      <c r="H1615" s="2">
        <v>0.70723445439148303</v>
      </c>
      <c r="I1615" s="2">
        <v>1.1330298647153918</v>
      </c>
      <c r="J1615" s="3">
        <v>12429</v>
      </c>
      <c r="K1615">
        <v>0.81880826915281724</v>
      </c>
      <c r="L1615">
        <v>7.6854479124442641</v>
      </c>
      <c r="M1615">
        <v>2.6</v>
      </c>
    </row>
    <row r="1616" spans="1:15" x14ac:dyDescent="0.25">
      <c r="A1616" t="s">
        <v>334</v>
      </c>
      <c r="B1616" s="1" t="s">
        <v>335</v>
      </c>
      <c r="C1616" s="1">
        <v>2016</v>
      </c>
      <c r="D1616" s="1">
        <v>2</v>
      </c>
      <c r="E1616" s="1">
        <v>3</v>
      </c>
      <c r="F1616" s="1">
        <v>2.5</v>
      </c>
      <c r="G1616" s="1">
        <v>1</v>
      </c>
      <c r="H1616" s="2">
        <v>0.77149988654413404</v>
      </c>
      <c r="I1616" s="2">
        <v>1.1401354438642295</v>
      </c>
      <c r="J1616" s="3">
        <v>12335</v>
      </c>
      <c r="K1616">
        <v>0.81880826915281724</v>
      </c>
      <c r="L1616">
        <v>7.6854479124442641</v>
      </c>
      <c r="M1616">
        <v>2.6</v>
      </c>
      <c r="O1616" s="7"/>
    </row>
    <row r="1617" spans="1:15" x14ac:dyDescent="0.25">
      <c r="A1617" t="s">
        <v>334</v>
      </c>
      <c r="B1617" s="1" t="s">
        <v>335</v>
      </c>
      <c r="C1617" s="1">
        <v>2017</v>
      </c>
      <c r="D1617" s="1">
        <v>2</v>
      </c>
      <c r="E1617" s="1">
        <v>3</v>
      </c>
      <c r="F1617" s="1">
        <v>2.5</v>
      </c>
      <c r="G1617" s="1">
        <v>1</v>
      </c>
      <c r="H1617" s="12">
        <v>0.89481674257210997</v>
      </c>
      <c r="I1617" s="12">
        <v>1.0220471801534776</v>
      </c>
      <c r="J1617" s="3">
        <v>12638</v>
      </c>
      <c r="K1617">
        <v>0.81880826915281724</v>
      </c>
      <c r="L1617">
        <v>7.6854479124442641</v>
      </c>
      <c r="M1617">
        <v>2.6</v>
      </c>
    </row>
    <row r="1618" spans="1:15" x14ac:dyDescent="0.25">
      <c r="A1618" s="8" t="s">
        <v>334</v>
      </c>
      <c r="B1618" s="1" t="s">
        <v>335</v>
      </c>
      <c r="C1618" s="1">
        <v>2018</v>
      </c>
      <c r="D1618" s="1">
        <v>2</v>
      </c>
      <c r="E1618" s="1">
        <v>3</v>
      </c>
      <c r="F1618" s="1">
        <v>2.5</v>
      </c>
      <c r="G1618" s="1">
        <v>1</v>
      </c>
      <c r="H1618" s="12">
        <v>0.85825283494330096</v>
      </c>
      <c r="I1618" s="12">
        <v>1.0248274767986039</v>
      </c>
      <c r="J1618" s="3">
        <v>12730</v>
      </c>
      <c r="K1618">
        <v>0.81880826915281724</v>
      </c>
      <c r="L1618">
        <v>7.6854479124442641</v>
      </c>
      <c r="M1618">
        <v>2.7</v>
      </c>
    </row>
    <row r="1619" spans="1:15" x14ac:dyDescent="0.25">
      <c r="A1619" s="8" t="s">
        <v>336</v>
      </c>
      <c r="B1619" s="1" t="s">
        <v>335</v>
      </c>
      <c r="C1619" s="1">
        <v>2014</v>
      </c>
      <c r="D1619" s="1">
        <v>2</v>
      </c>
      <c r="E1619" s="1">
        <v>3</v>
      </c>
      <c r="F1619" s="1">
        <v>2.5</v>
      </c>
      <c r="G1619" s="1">
        <v>1</v>
      </c>
      <c r="J1619" s="3">
        <v>11560</v>
      </c>
      <c r="K1619">
        <v>1.4828864557289423</v>
      </c>
      <c r="L1619">
        <v>3.5175446159151651</v>
      </c>
      <c r="M1619">
        <v>2.7</v>
      </c>
    </row>
    <row r="1620" spans="1:15" x14ac:dyDescent="0.25">
      <c r="A1620" s="8" t="s">
        <v>336</v>
      </c>
      <c r="B1620" s="1" t="s">
        <v>335</v>
      </c>
      <c r="C1620" s="1">
        <v>2015</v>
      </c>
      <c r="D1620" s="1">
        <v>2</v>
      </c>
      <c r="E1620" s="1">
        <v>3</v>
      </c>
      <c r="F1620" s="1">
        <v>2.5</v>
      </c>
      <c r="G1620" s="1">
        <v>1</v>
      </c>
      <c r="H1620" s="2">
        <v>0.85956031240960395</v>
      </c>
      <c r="I1620" s="2">
        <v>1.0574051500838031</v>
      </c>
      <c r="J1620" s="3">
        <v>11644</v>
      </c>
      <c r="K1620">
        <v>1.4828864557289423</v>
      </c>
      <c r="L1620">
        <v>3.5175446159151651</v>
      </c>
      <c r="M1620">
        <v>2.8</v>
      </c>
    </row>
    <row r="1621" spans="1:15" x14ac:dyDescent="0.25">
      <c r="A1621" t="s">
        <v>336</v>
      </c>
      <c r="B1621" s="1" t="s">
        <v>335</v>
      </c>
      <c r="C1621" s="1">
        <v>2016</v>
      </c>
      <c r="D1621" s="1">
        <v>2</v>
      </c>
      <c r="E1621" s="1">
        <v>3</v>
      </c>
      <c r="F1621" s="1">
        <v>2.5</v>
      </c>
      <c r="G1621" s="1">
        <v>1</v>
      </c>
      <c r="H1621" s="2">
        <v>0.51286638227604198</v>
      </c>
      <c r="I1621" s="2">
        <v>1.040631093777699</v>
      </c>
      <c r="J1621" s="3">
        <v>11599</v>
      </c>
      <c r="K1621">
        <v>1.4828864557289423</v>
      </c>
      <c r="L1621">
        <v>3.5175446159151651</v>
      </c>
      <c r="M1621">
        <v>2.8</v>
      </c>
      <c r="O1621" s="7"/>
    </row>
    <row r="1622" spans="1:15" x14ac:dyDescent="0.25">
      <c r="A1622" t="s">
        <v>336</v>
      </c>
      <c r="B1622" s="1" t="s">
        <v>335</v>
      </c>
      <c r="C1622" s="1">
        <v>2017</v>
      </c>
      <c r="D1622" s="1">
        <v>2</v>
      </c>
      <c r="E1622" s="1">
        <v>3</v>
      </c>
      <c r="F1622" s="1">
        <v>2.5</v>
      </c>
      <c r="G1622" s="1">
        <v>1</v>
      </c>
      <c r="H1622" s="12">
        <v>0.63725490196078405</v>
      </c>
      <c r="I1622" s="12">
        <v>0.95381139343655075</v>
      </c>
      <c r="J1622" s="3">
        <v>11756</v>
      </c>
      <c r="K1622">
        <v>1.4828864557289423</v>
      </c>
      <c r="L1622">
        <v>3.5175446159151651</v>
      </c>
      <c r="M1622">
        <v>2.8</v>
      </c>
    </row>
    <row r="1623" spans="1:15" x14ac:dyDescent="0.25">
      <c r="A1623" s="8" t="s">
        <v>336</v>
      </c>
      <c r="B1623" s="1" t="s">
        <v>335</v>
      </c>
      <c r="C1623" s="1">
        <v>2018</v>
      </c>
      <c r="D1623" s="1">
        <v>2</v>
      </c>
      <c r="E1623" s="1">
        <v>3</v>
      </c>
      <c r="F1623" s="1">
        <v>2.5</v>
      </c>
      <c r="G1623" s="1">
        <v>1</v>
      </c>
      <c r="H1623" s="12">
        <v>0.63457413249211403</v>
      </c>
      <c r="I1623" s="12">
        <v>0.94212527089920772</v>
      </c>
      <c r="J1623" s="3">
        <v>11795</v>
      </c>
      <c r="K1623">
        <v>1.4828864557289423</v>
      </c>
      <c r="L1623">
        <v>3.5175446159151651</v>
      </c>
      <c r="M1623">
        <v>2.8</v>
      </c>
    </row>
    <row r="1624" spans="1:15" x14ac:dyDescent="0.25">
      <c r="A1624" s="8" t="s">
        <v>337</v>
      </c>
      <c r="B1624" s="1" t="s">
        <v>335</v>
      </c>
      <c r="C1624" s="1">
        <v>2014</v>
      </c>
      <c r="D1624" s="1">
        <v>2</v>
      </c>
      <c r="E1624" s="1">
        <v>2</v>
      </c>
      <c r="F1624" s="1">
        <v>2</v>
      </c>
      <c r="G1624" s="1">
        <v>0</v>
      </c>
      <c r="J1624" s="3">
        <v>99914</v>
      </c>
      <c r="K1624">
        <v>1.4505010374770133</v>
      </c>
      <c r="L1624">
        <v>5.3958638594144892</v>
      </c>
      <c r="M1624">
        <v>135.19999999999999</v>
      </c>
    </row>
    <row r="1625" spans="1:15" x14ac:dyDescent="0.25">
      <c r="A1625" s="8" t="s">
        <v>337</v>
      </c>
      <c r="B1625" s="1" t="s">
        <v>335</v>
      </c>
      <c r="C1625" s="1">
        <v>2015</v>
      </c>
      <c r="D1625" s="1">
        <v>2</v>
      </c>
      <c r="E1625" s="1">
        <v>2</v>
      </c>
      <c r="F1625" s="1">
        <v>2</v>
      </c>
      <c r="G1625" s="1">
        <v>0</v>
      </c>
      <c r="H1625" s="2">
        <v>0.48799555390885502</v>
      </c>
      <c r="I1625" s="2">
        <v>1.1570871929549125</v>
      </c>
      <c r="J1625" s="3">
        <v>101479</v>
      </c>
      <c r="K1625">
        <v>1.4505010374770133</v>
      </c>
      <c r="L1625">
        <v>5.3958638594144892</v>
      </c>
      <c r="M1625">
        <v>137.30000000000001</v>
      </c>
    </row>
    <row r="1626" spans="1:15" x14ac:dyDescent="0.25">
      <c r="A1626" t="s">
        <v>337</v>
      </c>
      <c r="B1626" s="1" t="s">
        <v>335</v>
      </c>
      <c r="C1626" s="1">
        <v>2016</v>
      </c>
      <c r="D1626" s="1">
        <v>2</v>
      </c>
      <c r="E1626" s="1">
        <v>2</v>
      </c>
      <c r="F1626" s="1">
        <v>2</v>
      </c>
      <c r="G1626" s="1">
        <v>0</v>
      </c>
      <c r="H1626" s="2">
        <v>0.82877451291489501</v>
      </c>
      <c r="I1626" s="2">
        <v>0.98358942429565732</v>
      </c>
      <c r="J1626" s="3">
        <v>101689</v>
      </c>
      <c r="K1626">
        <v>1.4505010374770133</v>
      </c>
      <c r="L1626">
        <v>5.3958638594144892</v>
      </c>
      <c r="M1626">
        <v>140</v>
      </c>
      <c r="O1626" s="7"/>
    </row>
    <row r="1627" spans="1:15" x14ac:dyDescent="0.25">
      <c r="A1627" t="s">
        <v>337</v>
      </c>
      <c r="B1627" s="1" t="s">
        <v>335</v>
      </c>
      <c r="C1627" s="1">
        <v>2017</v>
      </c>
      <c r="D1627" s="1">
        <v>2</v>
      </c>
      <c r="E1627" s="1">
        <v>2</v>
      </c>
      <c r="F1627" s="1">
        <v>2</v>
      </c>
      <c r="G1627" s="1">
        <v>0</v>
      </c>
      <c r="H1627" s="12">
        <v>0.66697177673011498</v>
      </c>
      <c r="I1627" s="12">
        <v>1.0065863100605514</v>
      </c>
      <c r="J1627" s="3">
        <v>105422</v>
      </c>
      <c r="K1627">
        <v>1.4505010374770133</v>
      </c>
      <c r="L1627">
        <v>5.3958638594144892</v>
      </c>
      <c r="M1627">
        <v>142.6</v>
      </c>
    </row>
    <row r="1628" spans="1:15" x14ac:dyDescent="0.25">
      <c r="A1628" s="8" t="s">
        <v>337</v>
      </c>
      <c r="B1628" s="1" t="s">
        <v>335</v>
      </c>
      <c r="C1628" s="1">
        <v>2018</v>
      </c>
      <c r="D1628" s="1">
        <v>2</v>
      </c>
      <c r="E1628" s="1">
        <v>2</v>
      </c>
      <c r="F1628" s="1">
        <v>2</v>
      </c>
      <c r="G1628" s="1">
        <v>0</v>
      </c>
      <c r="H1628" s="12">
        <v>0.66861759185527403</v>
      </c>
      <c r="I1628" s="12">
        <v>1.0052157114092068</v>
      </c>
      <c r="J1628" s="3">
        <v>107325</v>
      </c>
      <c r="K1628">
        <v>1.4505010374770133</v>
      </c>
      <c r="L1628">
        <v>5.3958638594144892</v>
      </c>
      <c r="M1628">
        <v>145.19999999999999</v>
      </c>
    </row>
    <row r="1629" spans="1:15" x14ac:dyDescent="0.25">
      <c r="A1629" s="8" t="s">
        <v>338</v>
      </c>
      <c r="B1629" s="1" t="s">
        <v>335</v>
      </c>
      <c r="C1629" s="1">
        <v>2014</v>
      </c>
      <c r="D1629" s="1">
        <v>1</v>
      </c>
      <c r="E1629" s="1">
        <v>1</v>
      </c>
      <c r="F1629" s="1">
        <v>1</v>
      </c>
      <c r="G1629" s="1">
        <v>0</v>
      </c>
      <c r="J1629" s="3">
        <v>125107</v>
      </c>
      <c r="K1629">
        <v>0.57931057118709428</v>
      </c>
      <c r="L1629">
        <v>21.682298205450117</v>
      </c>
      <c r="M1629">
        <v>2000.4</v>
      </c>
    </row>
    <row r="1630" spans="1:15" x14ac:dyDescent="0.25">
      <c r="A1630" s="8" t="s">
        <v>338</v>
      </c>
      <c r="B1630" s="1" t="s">
        <v>335</v>
      </c>
      <c r="C1630" s="1">
        <v>2015</v>
      </c>
      <c r="D1630" s="1">
        <v>1</v>
      </c>
      <c r="E1630" s="1">
        <v>1</v>
      </c>
      <c r="F1630" s="1">
        <v>1</v>
      </c>
      <c r="G1630" s="1">
        <v>0</v>
      </c>
      <c r="H1630" s="2">
        <v>0.88882250706061305</v>
      </c>
      <c r="I1630" s="2">
        <v>1.1021451499256245</v>
      </c>
      <c r="J1630" s="3">
        <v>126088</v>
      </c>
      <c r="K1630">
        <v>0.57931057118709428</v>
      </c>
      <c r="L1630">
        <v>21.682298205450117</v>
      </c>
      <c r="M1630">
        <v>2016.1</v>
      </c>
    </row>
    <row r="1631" spans="1:15" x14ac:dyDescent="0.25">
      <c r="A1631" t="s">
        <v>338</v>
      </c>
      <c r="B1631" s="1" t="s">
        <v>335</v>
      </c>
      <c r="C1631" s="1">
        <v>2016</v>
      </c>
      <c r="D1631" s="1">
        <v>1</v>
      </c>
      <c r="E1631" s="1">
        <v>1</v>
      </c>
      <c r="F1631" s="1">
        <v>1</v>
      </c>
      <c r="G1631" s="1">
        <v>0</v>
      </c>
      <c r="H1631" s="2">
        <v>1.54706927175844</v>
      </c>
      <c r="I1631" s="2">
        <v>1.0938519428892226</v>
      </c>
      <c r="J1631" s="3">
        <v>121869</v>
      </c>
      <c r="K1631">
        <v>0.57931057118709428</v>
      </c>
      <c r="L1631">
        <v>21.682298205450117</v>
      </c>
      <c r="M1631">
        <v>2037.8</v>
      </c>
      <c r="O1631" s="7"/>
    </row>
    <row r="1632" spans="1:15" x14ac:dyDescent="0.25">
      <c r="A1632" t="s">
        <v>338</v>
      </c>
      <c r="B1632" s="1" t="s">
        <v>335</v>
      </c>
      <c r="C1632" s="1">
        <v>2017</v>
      </c>
      <c r="D1632" s="1">
        <v>1</v>
      </c>
      <c r="E1632" s="1">
        <v>1</v>
      </c>
      <c r="F1632" s="1">
        <v>1</v>
      </c>
      <c r="G1632" s="1">
        <v>0</v>
      </c>
      <c r="H1632" s="12">
        <v>1.25940381519247</v>
      </c>
      <c r="I1632" s="12">
        <v>1.0000075030012006</v>
      </c>
      <c r="J1632" s="3">
        <v>129115</v>
      </c>
      <c r="K1632">
        <v>0.57931057118709428</v>
      </c>
      <c r="L1632">
        <v>21.682298205450117</v>
      </c>
      <c r="M1632">
        <v>2064.5</v>
      </c>
    </row>
    <row r="1633" spans="1:15" x14ac:dyDescent="0.25">
      <c r="A1633" s="8" t="s">
        <v>338</v>
      </c>
      <c r="B1633" s="1" t="s">
        <v>335</v>
      </c>
      <c r="C1633" s="1">
        <v>2018</v>
      </c>
      <c r="D1633" s="1">
        <v>1</v>
      </c>
      <c r="E1633" s="1">
        <v>1</v>
      </c>
      <c r="F1633" s="1">
        <v>1</v>
      </c>
      <c r="G1633" s="1">
        <v>0</v>
      </c>
      <c r="H1633" s="12">
        <v>0.72338110780000897</v>
      </c>
      <c r="I1633" s="12">
        <v>1.0181695827725439</v>
      </c>
      <c r="J1633" s="3">
        <v>130237</v>
      </c>
      <c r="K1633">
        <v>0.57931057118709428</v>
      </c>
      <c r="L1633">
        <v>21.682298205450117</v>
      </c>
      <c r="M1633">
        <v>2082.5</v>
      </c>
    </row>
    <row r="1634" spans="1:15" x14ac:dyDescent="0.25">
      <c r="A1634" s="8" t="s">
        <v>339</v>
      </c>
      <c r="B1634" s="1" t="s">
        <v>335</v>
      </c>
      <c r="C1634" s="1">
        <v>2014</v>
      </c>
      <c r="D1634" s="1">
        <v>2</v>
      </c>
      <c r="E1634" s="1">
        <v>2</v>
      </c>
      <c r="F1634" s="1">
        <v>2</v>
      </c>
      <c r="G1634" s="1">
        <v>0</v>
      </c>
      <c r="J1634" s="3">
        <v>31917</v>
      </c>
      <c r="K1634">
        <v>0.91141864293117114</v>
      </c>
      <c r="L1634">
        <v>4.8161921599707371</v>
      </c>
      <c r="M1634">
        <v>36.9</v>
      </c>
    </row>
    <row r="1635" spans="1:15" x14ac:dyDescent="0.25">
      <c r="A1635" s="8" t="s">
        <v>339</v>
      </c>
      <c r="B1635" s="1" t="s">
        <v>335</v>
      </c>
      <c r="C1635" s="1">
        <v>2015</v>
      </c>
      <c r="D1635" s="1">
        <v>2</v>
      </c>
      <c r="E1635" s="1">
        <v>2</v>
      </c>
      <c r="F1635" s="1">
        <v>2</v>
      </c>
      <c r="G1635" s="1">
        <v>0</v>
      </c>
      <c r="H1635" s="2">
        <v>0.41235194585448398</v>
      </c>
      <c r="I1635" s="2">
        <v>0.97070856804032024</v>
      </c>
      <c r="J1635" s="3">
        <v>32576</v>
      </c>
      <c r="K1635">
        <v>0.91141864293117114</v>
      </c>
      <c r="L1635">
        <v>4.8161921599707371</v>
      </c>
      <c r="M1635">
        <v>37.6</v>
      </c>
    </row>
    <row r="1636" spans="1:15" x14ac:dyDescent="0.25">
      <c r="A1636" t="s">
        <v>339</v>
      </c>
      <c r="B1636" s="1" t="s">
        <v>335</v>
      </c>
      <c r="C1636" s="1">
        <v>2016</v>
      </c>
      <c r="D1636" s="1">
        <v>2</v>
      </c>
      <c r="E1636" s="1">
        <v>2</v>
      </c>
      <c r="F1636" s="1">
        <v>2</v>
      </c>
      <c r="G1636" s="1">
        <v>0</v>
      </c>
      <c r="H1636" s="2">
        <v>0.56383839870483499</v>
      </c>
      <c r="I1636" s="2">
        <v>1.0390224894232911</v>
      </c>
      <c r="J1636" s="3">
        <v>32806</v>
      </c>
      <c r="K1636">
        <v>0.91141864293117114</v>
      </c>
      <c r="L1636">
        <v>4.8161921599707371</v>
      </c>
      <c r="M1636">
        <v>38.700000000000003</v>
      </c>
      <c r="O1636" s="7"/>
    </row>
    <row r="1637" spans="1:15" x14ac:dyDescent="0.25">
      <c r="A1637" t="s">
        <v>339</v>
      </c>
      <c r="B1637" s="1" t="s">
        <v>335</v>
      </c>
      <c r="C1637" s="1">
        <v>2017</v>
      </c>
      <c r="D1637" s="1">
        <v>2</v>
      </c>
      <c r="E1637" s="1">
        <v>2</v>
      </c>
      <c r="F1637" s="1">
        <v>2</v>
      </c>
      <c r="G1637" s="1">
        <v>0</v>
      </c>
      <c r="H1637" s="12">
        <v>0.84715688701823899</v>
      </c>
      <c r="I1637" s="12">
        <v>0.97059957055552493</v>
      </c>
      <c r="J1637" s="3">
        <v>34386</v>
      </c>
      <c r="K1637">
        <v>0.91141864293117114</v>
      </c>
      <c r="L1637">
        <v>4.8161921599707371</v>
      </c>
      <c r="M1637">
        <v>39.700000000000003</v>
      </c>
    </row>
    <row r="1638" spans="1:15" x14ac:dyDescent="0.25">
      <c r="A1638" s="8" t="s">
        <v>339</v>
      </c>
      <c r="B1638" s="1" t="s">
        <v>335</v>
      </c>
      <c r="C1638" s="1">
        <v>2018</v>
      </c>
      <c r="D1638" s="1">
        <v>2</v>
      </c>
      <c r="E1638" s="1">
        <v>2</v>
      </c>
      <c r="F1638" s="1">
        <v>2</v>
      </c>
      <c r="G1638" s="1">
        <v>0</v>
      </c>
      <c r="H1638" s="12">
        <v>0.88167090216010202</v>
      </c>
      <c r="I1638" s="12">
        <v>0.98990261813537683</v>
      </c>
      <c r="J1638" s="3">
        <v>35327</v>
      </c>
      <c r="K1638">
        <v>0.91141864293117114</v>
      </c>
      <c r="L1638">
        <v>4.8161921599707371</v>
      </c>
      <c r="M1638">
        <v>40.799999999999997</v>
      </c>
    </row>
    <row r="1639" spans="1:15" x14ac:dyDescent="0.25">
      <c r="A1639" s="8" t="s">
        <v>340</v>
      </c>
      <c r="B1639" s="1" t="s">
        <v>335</v>
      </c>
      <c r="C1639" s="1">
        <v>2014</v>
      </c>
      <c r="D1639" s="1">
        <v>2</v>
      </c>
      <c r="E1639" s="1">
        <v>3</v>
      </c>
      <c r="F1639" s="1">
        <v>2.5</v>
      </c>
      <c r="G1639" s="1">
        <v>1</v>
      </c>
      <c r="J1639" s="3">
        <v>46644</v>
      </c>
      <c r="K1639">
        <v>0.98397178043195743</v>
      </c>
      <c r="L1639">
        <v>3.9668296305464446</v>
      </c>
      <c r="M1639">
        <v>11.6</v>
      </c>
    </row>
    <row r="1640" spans="1:15" x14ac:dyDescent="0.25">
      <c r="A1640" s="8" t="s">
        <v>340</v>
      </c>
      <c r="B1640" s="1" t="s">
        <v>335</v>
      </c>
      <c r="C1640" s="1">
        <v>2015</v>
      </c>
      <c r="D1640" s="1">
        <v>2</v>
      </c>
      <c r="E1640" s="1">
        <v>3</v>
      </c>
      <c r="F1640" s="1">
        <v>2.5</v>
      </c>
      <c r="G1640" s="1">
        <v>1</v>
      </c>
      <c r="H1640" s="2">
        <v>1.1026475880387301</v>
      </c>
      <c r="I1640" s="2">
        <v>1.0778185420826947</v>
      </c>
      <c r="J1640" s="3">
        <v>47837</v>
      </c>
      <c r="K1640">
        <v>0.98397178043195743</v>
      </c>
      <c r="L1640">
        <v>3.9668296305464446</v>
      </c>
      <c r="M1640">
        <v>11.9</v>
      </c>
    </row>
    <row r="1641" spans="1:15" x14ac:dyDescent="0.25">
      <c r="A1641" t="s">
        <v>340</v>
      </c>
      <c r="B1641" s="1" t="s">
        <v>335</v>
      </c>
      <c r="C1641" s="1">
        <v>2016</v>
      </c>
      <c r="D1641" s="1">
        <v>2</v>
      </c>
      <c r="E1641" s="1">
        <v>3</v>
      </c>
      <c r="F1641" s="1">
        <v>2.5</v>
      </c>
      <c r="G1641" s="1">
        <v>1</v>
      </c>
      <c r="H1641" s="2">
        <v>0.89227019498607196</v>
      </c>
      <c r="I1641" s="2">
        <v>1.0824761623774593</v>
      </c>
      <c r="J1641" s="3">
        <v>48477</v>
      </c>
      <c r="K1641">
        <v>0.98397178043195743</v>
      </c>
      <c r="L1641">
        <v>3.9668296305464446</v>
      </c>
      <c r="M1641">
        <v>12.2</v>
      </c>
      <c r="O1641" s="7"/>
    </row>
    <row r="1642" spans="1:15" x14ac:dyDescent="0.25">
      <c r="A1642" t="s">
        <v>340</v>
      </c>
      <c r="B1642" s="1" t="s">
        <v>335</v>
      </c>
      <c r="C1642" s="1">
        <v>2017</v>
      </c>
      <c r="D1642" s="1">
        <v>2</v>
      </c>
      <c r="E1642" s="1">
        <v>3</v>
      </c>
      <c r="F1642" s="1">
        <v>2.5</v>
      </c>
      <c r="G1642" s="1">
        <v>1</v>
      </c>
      <c r="H1642" s="12">
        <v>1.0248093016366699</v>
      </c>
      <c r="I1642" s="12">
        <v>1.0617157391924761</v>
      </c>
      <c r="J1642" s="3">
        <v>50676</v>
      </c>
      <c r="K1642">
        <v>0.98397178043195743</v>
      </c>
      <c r="L1642">
        <v>3.9668296305464446</v>
      </c>
      <c r="M1642">
        <v>12.6</v>
      </c>
    </row>
    <row r="1643" spans="1:15" x14ac:dyDescent="0.25">
      <c r="A1643" s="8" t="s">
        <v>340</v>
      </c>
      <c r="B1643" s="1" t="s">
        <v>335</v>
      </c>
      <c r="C1643" s="1">
        <v>2018</v>
      </c>
      <c r="D1643" s="1">
        <v>2</v>
      </c>
      <c r="E1643" s="1">
        <v>3</v>
      </c>
      <c r="F1643" s="1">
        <v>2.5</v>
      </c>
      <c r="G1643" s="1">
        <v>1</v>
      </c>
      <c r="H1643" s="12">
        <v>0.87586401467061603</v>
      </c>
      <c r="I1643" s="12">
        <v>1.0487772625089486</v>
      </c>
      <c r="J1643" s="3">
        <v>52015</v>
      </c>
      <c r="K1643">
        <v>0.98397178043195743</v>
      </c>
      <c r="L1643">
        <v>3.9668296305464446</v>
      </c>
      <c r="M1643">
        <v>12.9</v>
      </c>
    </row>
    <row r="1644" spans="1:15" x14ac:dyDescent="0.25">
      <c r="A1644" s="8" t="s">
        <v>16</v>
      </c>
      <c r="B1644" s="1" t="s">
        <v>335</v>
      </c>
      <c r="C1644" s="1">
        <v>2014</v>
      </c>
      <c r="D1644" s="1">
        <v>1</v>
      </c>
      <c r="E1644" s="1">
        <v>1</v>
      </c>
      <c r="F1644" s="1">
        <v>1</v>
      </c>
      <c r="G1644" s="1">
        <v>0</v>
      </c>
      <c r="J1644" s="3">
        <v>99797</v>
      </c>
      <c r="K1644">
        <v>0.19363078317472088</v>
      </c>
      <c r="L1644">
        <v>14.645902855024101</v>
      </c>
      <c r="M1644">
        <v>2681.9</v>
      </c>
    </row>
    <row r="1645" spans="1:15" x14ac:dyDescent="0.25">
      <c r="A1645" s="8" t="s">
        <v>16</v>
      </c>
      <c r="B1645" s="1" t="s">
        <v>335</v>
      </c>
      <c r="C1645" s="1">
        <v>2015</v>
      </c>
      <c r="D1645" s="1">
        <v>1</v>
      </c>
      <c r="E1645" s="1">
        <v>1</v>
      </c>
      <c r="F1645" s="1">
        <v>1</v>
      </c>
      <c r="G1645" s="1">
        <v>0</v>
      </c>
      <c r="H1645" s="2">
        <v>0.84254738655944905</v>
      </c>
      <c r="I1645" s="2">
        <v>1.1721946291775407</v>
      </c>
      <c r="J1645" s="3">
        <v>101268</v>
      </c>
      <c r="K1645">
        <v>0.19363078317472088</v>
      </c>
      <c r="L1645">
        <v>14.645902855024101</v>
      </c>
      <c r="M1645">
        <v>2721.4</v>
      </c>
    </row>
    <row r="1646" spans="1:15" x14ac:dyDescent="0.25">
      <c r="A1646" t="s">
        <v>16</v>
      </c>
      <c r="B1646" s="1" t="s">
        <v>335</v>
      </c>
      <c r="C1646" s="1">
        <v>2016</v>
      </c>
      <c r="D1646" s="1">
        <v>1</v>
      </c>
      <c r="E1646" s="1">
        <v>1</v>
      </c>
      <c r="F1646" s="1">
        <v>1</v>
      </c>
      <c r="G1646" s="1">
        <v>0</v>
      </c>
      <c r="H1646" s="2">
        <v>1.0746237746789999</v>
      </c>
      <c r="I1646" s="2">
        <v>1.2353605896485722</v>
      </c>
      <c r="J1646" s="3">
        <v>97092</v>
      </c>
      <c r="K1646">
        <v>0.19363078317472088</v>
      </c>
      <c r="L1646">
        <v>14.645902855024101</v>
      </c>
      <c r="M1646">
        <v>2765.6</v>
      </c>
      <c r="O1646" s="7"/>
    </row>
    <row r="1647" spans="1:15" x14ac:dyDescent="0.25">
      <c r="A1647" t="s">
        <v>16</v>
      </c>
      <c r="B1647" s="1" t="s">
        <v>335</v>
      </c>
      <c r="C1647" s="1">
        <v>2017</v>
      </c>
      <c r="D1647" s="1">
        <v>1</v>
      </c>
      <c r="E1647" s="1">
        <v>1</v>
      </c>
      <c r="F1647" s="1">
        <v>1</v>
      </c>
      <c r="G1647" s="1">
        <v>0</v>
      </c>
      <c r="H1647" s="12">
        <v>1.17127106433628</v>
      </c>
      <c r="I1647" s="12">
        <v>1.1331415119016484</v>
      </c>
      <c r="J1647" s="3">
        <v>104282</v>
      </c>
      <c r="K1647">
        <v>0.19363078317472088</v>
      </c>
      <c r="L1647">
        <v>14.645902855024101</v>
      </c>
      <c r="M1647">
        <v>2802.4</v>
      </c>
    </row>
    <row r="1648" spans="1:15" x14ac:dyDescent="0.25">
      <c r="A1648" s="8" t="s">
        <v>16</v>
      </c>
      <c r="B1648" s="1" t="s">
        <v>335</v>
      </c>
      <c r="C1648" s="1">
        <v>2018</v>
      </c>
      <c r="D1648" s="1">
        <v>1</v>
      </c>
      <c r="E1648" s="1">
        <v>1</v>
      </c>
      <c r="F1648" s="1">
        <v>1</v>
      </c>
      <c r="G1648" s="1">
        <v>0</v>
      </c>
      <c r="H1648" s="12">
        <v>1.1883363524805699</v>
      </c>
      <c r="I1648" s="12">
        <v>1.1288515666366317</v>
      </c>
      <c r="J1648" s="3">
        <v>105718</v>
      </c>
      <c r="K1648">
        <v>0.19363078317472088</v>
      </c>
      <c r="L1648">
        <v>14.645902855024101</v>
      </c>
      <c r="M1648">
        <v>2841</v>
      </c>
    </row>
    <row r="1649" spans="1:15" x14ac:dyDescent="0.25">
      <c r="A1649" s="8" t="s">
        <v>341</v>
      </c>
      <c r="B1649" s="1" t="s">
        <v>335</v>
      </c>
      <c r="C1649" s="1">
        <v>2014</v>
      </c>
      <c r="D1649" s="1">
        <v>2</v>
      </c>
      <c r="E1649" s="1">
        <v>3</v>
      </c>
      <c r="F1649" s="1">
        <v>2.5</v>
      </c>
      <c r="G1649" s="1">
        <v>1</v>
      </c>
      <c r="J1649" s="3">
        <v>13898</v>
      </c>
      <c r="K1649">
        <v>1.6230253191949793</v>
      </c>
      <c r="L1649">
        <v>2.7338959821106545</v>
      </c>
      <c r="M1649">
        <v>5.9</v>
      </c>
    </row>
    <row r="1650" spans="1:15" x14ac:dyDescent="0.25">
      <c r="A1650" s="8" t="s">
        <v>341</v>
      </c>
      <c r="B1650" s="1" t="s">
        <v>335</v>
      </c>
      <c r="C1650" s="1">
        <v>2015</v>
      </c>
      <c r="D1650" s="1">
        <v>2</v>
      </c>
      <c r="E1650" s="1">
        <v>3</v>
      </c>
      <c r="F1650" s="1">
        <v>2.5</v>
      </c>
      <c r="G1650" s="1">
        <v>1</v>
      </c>
      <c r="H1650" s="2">
        <v>0.45046728971962602</v>
      </c>
      <c r="I1650" s="2">
        <v>0.89413710714942063</v>
      </c>
      <c r="J1650" s="3">
        <v>13923</v>
      </c>
      <c r="K1650">
        <v>1.6230253191949793</v>
      </c>
      <c r="L1650">
        <v>2.7338959821106545</v>
      </c>
      <c r="M1650">
        <v>5.9</v>
      </c>
    </row>
    <row r="1651" spans="1:15" x14ac:dyDescent="0.25">
      <c r="A1651" t="s">
        <v>341</v>
      </c>
      <c r="B1651" s="1" t="s">
        <v>335</v>
      </c>
      <c r="C1651" s="1">
        <v>2016</v>
      </c>
      <c r="D1651" s="1">
        <v>2</v>
      </c>
      <c r="E1651" s="1">
        <v>3</v>
      </c>
      <c r="F1651" s="1">
        <v>2.5</v>
      </c>
      <c r="G1651" s="1">
        <v>1</v>
      </c>
      <c r="H1651" s="2">
        <v>0.57049180327868898</v>
      </c>
      <c r="I1651" s="2">
        <v>1.0474523793498014</v>
      </c>
      <c r="J1651" s="3">
        <v>13863</v>
      </c>
      <c r="K1651">
        <v>1.6230253191949793</v>
      </c>
      <c r="L1651">
        <v>2.7338959821106545</v>
      </c>
      <c r="M1651">
        <v>5.9</v>
      </c>
      <c r="O1651" s="7"/>
    </row>
    <row r="1652" spans="1:15" x14ac:dyDescent="0.25">
      <c r="A1652" t="s">
        <v>341</v>
      </c>
      <c r="B1652" s="1" t="s">
        <v>335</v>
      </c>
      <c r="C1652" s="1">
        <v>2017</v>
      </c>
      <c r="D1652" s="1">
        <v>2</v>
      </c>
      <c r="E1652" s="1">
        <v>3</v>
      </c>
      <c r="F1652" s="1">
        <v>2.5</v>
      </c>
      <c r="G1652" s="1">
        <v>1</v>
      </c>
      <c r="H1652" s="12">
        <v>0.32828899194532601</v>
      </c>
      <c r="I1652" s="12">
        <v>1.0132544555938297</v>
      </c>
      <c r="J1652" s="3">
        <v>13974</v>
      </c>
      <c r="K1652">
        <v>1.6230253191949793</v>
      </c>
      <c r="L1652">
        <v>2.7338959821106545</v>
      </c>
      <c r="M1652">
        <v>5.9</v>
      </c>
    </row>
    <row r="1653" spans="1:15" x14ac:dyDescent="0.25">
      <c r="A1653" s="8" t="s">
        <v>341</v>
      </c>
      <c r="B1653" s="1" t="s">
        <v>335</v>
      </c>
      <c r="C1653" s="1">
        <v>2018</v>
      </c>
      <c r="D1653" s="1">
        <v>2</v>
      </c>
      <c r="E1653" s="1">
        <v>3</v>
      </c>
      <c r="F1653" s="1">
        <v>2.5</v>
      </c>
      <c r="G1653" s="1">
        <v>1</v>
      </c>
      <c r="H1653" s="12">
        <v>0.41676367869615799</v>
      </c>
      <c r="I1653" s="12">
        <v>1.0073792729245796</v>
      </c>
      <c r="J1653" s="3">
        <v>14024</v>
      </c>
      <c r="K1653">
        <v>1.6230253191949793</v>
      </c>
      <c r="L1653">
        <v>2.7338959821106545</v>
      </c>
      <c r="M1653">
        <v>6</v>
      </c>
    </row>
    <row r="1654" spans="1:15" x14ac:dyDescent="0.25">
      <c r="A1654" s="8" t="s">
        <v>342</v>
      </c>
      <c r="B1654" s="1" t="s">
        <v>335</v>
      </c>
      <c r="C1654" s="1">
        <v>2014</v>
      </c>
      <c r="D1654" s="1">
        <v>1</v>
      </c>
      <c r="E1654" s="1">
        <v>1</v>
      </c>
      <c r="F1654" s="1">
        <v>1</v>
      </c>
      <c r="G1654" s="1">
        <v>0</v>
      </c>
      <c r="J1654" s="3">
        <v>172660</v>
      </c>
      <c r="K1654">
        <v>0.18776310753922695</v>
      </c>
      <c r="L1654">
        <v>27.248971488710293</v>
      </c>
      <c r="M1654">
        <v>2869.2</v>
      </c>
    </row>
    <row r="1655" spans="1:15" x14ac:dyDescent="0.25">
      <c r="A1655" s="8" t="s">
        <v>342</v>
      </c>
      <c r="B1655" s="1" t="s">
        <v>335</v>
      </c>
      <c r="C1655" s="1">
        <v>2015</v>
      </c>
      <c r="D1655" s="1">
        <v>1</v>
      </c>
      <c r="E1655" s="1">
        <v>1</v>
      </c>
      <c r="F1655" s="1">
        <v>1</v>
      </c>
      <c r="G1655" s="1">
        <v>0</v>
      </c>
      <c r="H1655" s="2">
        <v>1.4483096025372799</v>
      </c>
      <c r="I1655" s="2">
        <v>1.1331050993817684</v>
      </c>
      <c r="J1655" s="3">
        <v>174753</v>
      </c>
      <c r="K1655">
        <v>0.18776310753922695</v>
      </c>
      <c r="L1655">
        <v>27.248971488710293</v>
      </c>
      <c r="M1655">
        <v>2904</v>
      </c>
    </row>
    <row r="1656" spans="1:15" x14ac:dyDescent="0.25">
      <c r="A1656" t="s">
        <v>342</v>
      </c>
      <c r="B1656" s="1" t="s">
        <v>335</v>
      </c>
      <c r="C1656" s="1">
        <v>2016</v>
      </c>
      <c r="D1656" s="1">
        <v>1</v>
      </c>
      <c r="E1656" s="1">
        <v>1</v>
      </c>
      <c r="F1656" s="1">
        <v>1</v>
      </c>
      <c r="G1656" s="1">
        <v>0</v>
      </c>
      <c r="H1656" s="2">
        <v>1.17555690498258</v>
      </c>
      <c r="I1656" s="2">
        <v>1.1259867175071336</v>
      </c>
      <c r="J1656" s="3">
        <v>167232</v>
      </c>
      <c r="K1656">
        <v>0.18776310753922695</v>
      </c>
      <c r="L1656">
        <v>27.248971488710293</v>
      </c>
      <c r="M1656">
        <v>2945.9</v>
      </c>
      <c r="O1656" s="7"/>
    </row>
    <row r="1657" spans="1:15" x14ac:dyDescent="0.25">
      <c r="A1657" t="s">
        <v>342</v>
      </c>
      <c r="B1657" s="1" t="s">
        <v>335</v>
      </c>
      <c r="C1657" s="1">
        <v>2017</v>
      </c>
      <c r="D1657" s="1">
        <v>1</v>
      </c>
      <c r="E1657" s="1">
        <v>1</v>
      </c>
      <c r="F1657" s="1">
        <v>1</v>
      </c>
      <c r="G1657" s="1">
        <v>0</v>
      </c>
      <c r="H1657" s="12">
        <v>1.1018492791207399</v>
      </c>
      <c r="I1657" s="12">
        <v>1.1456571344998396</v>
      </c>
      <c r="J1657" s="3">
        <v>179677</v>
      </c>
      <c r="K1657">
        <v>0.18776310753922695</v>
      </c>
      <c r="L1657">
        <v>27.248971488710293</v>
      </c>
      <c r="M1657">
        <v>2985.8</v>
      </c>
    </row>
    <row r="1658" spans="1:15" x14ac:dyDescent="0.25">
      <c r="A1658" s="8" t="s">
        <v>342</v>
      </c>
      <c r="B1658" s="1" t="s">
        <v>335</v>
      </c>
      <c r="C1658" s="1">
        <v>2018</v>
      </c>
      <c r="D1658" s="1">
        <v>1</v>
      </c>
      <c r="E1658" s="1">
        <v>1</v>
      </c>
      <c r="F1658" s="1">
        <v>1</v>
      </c>
      <c r="G1658" s="1">
        <v>0</v>
      </c>
      <c r="H1658" s="12">
        <v>1.1621553489837699</v>
      </c>
      <c r="I1658" s="12">
        <v>1.1460679043096937</v>
      </c>
      <c r="J1658" s="3">
        <v>181289</v>
      </c>
      <c r="K1658">
        <v>0.18776310753922695</v>
      </c>
      <c r="L1658">
        <v>27.248971488710293</v>
      </c>
      <c r="M1658">
        <v>3012.6</v>
      </c>
    </row>
    <row r="1659" spans="1:15" x14ac:dyDescent="0.25">
      <c r="A1659" s="8" t="s">
        <v>343</v>
      </c>
      <c r="B1659" s="1" t="s">
        <v>335</v>
      </c>
      <c r="C1659" s="1">
        <v>2014</v>
      </c>
      <c r="D1659" s="1">
        <v>1</v>
      </c>
      <c r="E1659" s="1">
        <v>1</v>
      </c>
      <c r="F1659" s="1">
        <v>1</v>
      </c>
      <c r="G1659" s="1">
        <v>0</v>
      </c>
      <c r="J1659" s="3">
        <v>198468</v>
      </c>
      <c r="K1659">
        <v>0.41890744409849984</v>
      </c>
      <c r="L1659">
        <v>58.387154877389804</v>
      </c>
      <c r="M1659">
        <v>1608.3</v>
      </c>
    </row>
    <row r="1660" spans="1:15" x14ac:dyDescent="0.25">
      <c r="A1660" s="8" t="s">
        <v>343</v>
      </c>
      <c r="B1660" s="1" t="s">
        <v>335</v>
      </c>
      <c r="C1660" s="1">
        <v>2015</v>
      </c>
      <c r="D1660" s="1">
        <v>1</v>
      </c>
      <c r="E1660" s="1">
        <v>1</v>
      </c>
      <c r="F1660" s="1">
        <v>1</v>
      </c>
      <c r="G1660" s="1">
        <v>0</v>
      </c>
      <c r="H1660" s="2">
        <v>0.52817689867512596</v>
      </c>
      <c r="I1660" s="2">
        <v>1.0896628939720034</v>
      </c>
      <c r="J1660" s="3">
        <v>200860</v>
      </c>
      <c r="K1660">
        <v>0.41890744409849984</v>
      </c>
      <c r="L1660">
        <v>58.387154877389804</v>
      </c>
      <c r="M1660">
        <v>1627.7</v>
      </c>
    </row>
    <row r="1661" spans="1:15" x14ac:dyDescent="0.25">
      <c r="A1661" t="s">
        <v>343</v>
      </c>
      <c r="B1661" s="1" t="s">
        <v>335</v>
      </c>
      <c r="C1661" s="1">
        <v>2016</v>
      </c>
      <c r="D1661" s="1">
        <v>1</v>
      </c>
      <c r="E1661" s="1">
        <v>1</v>
      </c>
      <c r="F1661" s="1">
        <v>1</v>
      </c>
      <c r="G1661" s="1">
        <v>0</v>
      </c>
      <c r="H1661" s="2">
        <v>0.62658100204557898</v>
      </c>
      <c r="I1661" s="2">
        <v>1.1773043752804131</v>
      </c>
      <c r="J1661" s="3">
        <v>194315</v>
      </c>
      <c r="K1661">
        <v>0.41890744409849984</v>
      </c>
      <c r="L1661">
        <v>58.387154877389804</v>
      </c>
      <c r="M1661">
        <v>1654.7</v>
      </c>
      <c r="O1661" s="7"/>
    </row>
    <row r="1662" spans="1:15" x14ac:dyDescent="0.25">
      <c r="A1662" t="s">
        <v>343</v>
      </c>
      <c r="B1662" s="1" t="s">
        <v>335</v>
      </c>
      <c r="C1662" s="1">
        <v>2017</v>
      </c>
      <c r="D1662" s="1">
        <v>1</v>
      </c>
      <c r="E1662" s="1">
        <v>1</v>
      </c>
      <c r="F1662" s="1">
        <v>1</v>
      </c>
      <c r="G1662" s="1">
        <v>0</v>
      </c>
      <c r="H1662" s="12">
        <v>0.431406749649832</v>
      </c>
      <c r="I1662" s="12">
        <v>1.0421286877600999</v>
      </c>
      <c r="J1662" s="3">
        <v>206997</v>
      </c>
      <c r="K1662">
        <v>0.41890744409849984</v>
      </c>
      <c r="L1662">
        <v>58.387154877389804</v>
      </c>
      <c r="M1662">
        <v>1677.5</v>
      </c>
    </row>
    <row r="1663" spans="1:15" x14ac:dyDescent="0.25">
      <c r="A1663" s="8" t="s">
        <v>343</v>
      </c>
      <c r="B1663" s="1" t="s">
        <v>335</v>
      </c>
      <c r="C1663" s="1">
        <v>2018</v>
      </c>
      <c r="D1663" s="1">
        <v>1</v>
      </c>
      <c r="E1663" s="1">
        <v>1</v>
      </c>
      <c r="F1663" s="1">
        <v>1</v>
      </c>
      <c r="G1663" s="1">
        <v>0</v>
      </c>
      <c r="H1663" s="12">
        <v>0.37728529169293401</v>
      </c>
      <c r="I1663" s="12">
        <v>1.0480885723426463</v>
      </c>
      <c r="J1663" s="3">
        <v>208714</v>
      </c>
      <c r="K1663">
        <v>0.41890744409849984</v>
      </c>
      <c r="L1663">
        <v>58.387154877389804</v>
      </c>
      <c r="M1663">
        <v>1691.4</v>
      </c>
    </row>
    <row r="1664" spans="1:15" x14ac:dyDescent="0.25">
      <c r="A1664" s="8" t="s">
        <v>344</v>
      </c>
      <c r="B1664" s="1" t="s">
        <v>335</v>
      </c>
      <c r="C1664" s="1">
        <v>2014</v>
      </c>
      <c r="D1664" s="1">
        <v>3</v>
      </c>
      <c r="E1664" s="1">
        <v>3</v>
      </c>
      <c r="F1664" s="1">
        <v>3</v>
      </c>
      <c r="G1664" s="1">
        <v>0</v>
      </c>
      <c r="J1664" s="3">
        <v>6335</v>
      </c>
      <c r="K1664">
        <v>1.0158013544018059</v>
      </c>
      <c r="L1664">
        <v>2.4830699774266365</v>
      </c>
      <c r="M1664">
        <v>0.8</v>
      </c>
    </row>
    <row r="1665" spans="1:15" x14ac:dyDescent="0.25">
      <c r="A1665" s="8" t="s">
        <v>344</v>
      </c>
      <c r="B1665" s="1" t="s">
        <v>335</v>
      </c>
      <c r="C1665" s="1">
        <v>2015</v>
      </c>
      <c r="D1665" s="1">
        <v>3</v>
      </c>
      <c r="E1665" s="1">
        <v>3</v>
      </c>
      <c r="F1665" s="1">
        <v>3</v>
      </c>
      <c r="G1665" s="1">
        <v>0</v>
      </c>
      <c r="H1665" s="2">
        <v>0.591515870661525</v>
      </c>
      <c r="I1665" s="2">
        <v>1.0574334692445964</v>
      </c>
      <c r="J1665" s="3">
        <v>6306</v>
      </c>
      <c r="K1665">
        <v>1.0158013544018059</v>
      </c>
      <c r="L1665">
        <v>2.4830699774266365</v>
      </c>
      <c r="M1665">
        <v>0.8</v>
      </c>
    </row>
    <row r="1666" spans="1:15" x14ac:dyDescent="0.25">
      <c r="A1666" t="s">
        <v>344</v>
      </c>
      <c r="B1666" s="1" t="s">
        <v>335</v>
      </c>
      <c r="C1666" s="1">
        <v>2016</v>
      </c>
      <c r="D1666" s="1">
        <v>3</v>
      </c>
      <c r="E1666" s="1">
        <v>3</v>
      </c>
      <c r="F1666" s="1">
        <v>3</v>
      </c>
      <c r="G1666" s="1">
        <v>0</v>
      </c>
      <c r="H1666" s="2">
        <v>0.72646068238395101</v>
      </c>
      <c r="I1666" s="2">
        <v>1.253461082055114</v>
      </c>
      <c r="J1666" s="3">
        <v>6202</v>
      </c>
      <c r="K1666">
        <v>1.0158013544018059</v>
      </c>
      <c r="L1666">
        <v>2.4830699774266365</v>
      </c>
      <c r="M1666">
        <v>0.8</v>
      </c>
      <c r="O1666" s="7"/>
    </row>
    <row r="1667" spans="1:15" x14ac:dyDescent="0.25">
      <c r="A1667" t="s">
        <v>344</v>
      </c>
      <c r="B1667" s="1" t="s">
        <v>335</v>
      </c>
      <c r="C1667" s="1">
        <v>2017</v>
      </c>
      <c r="D1667" s="1">
        <v>3</v>
      </c>
      <c r="E1667" s="1">
        <v>3</v>
      </c>
      <c r="F1667" s="1">
        <v>3</v>
      </c>
      <c r="G1667" s="1">
        <v>0</v>
      </c>
      <c r="H1667" s="12">
        <v>0.89847259658580403</v>
      </c>
      <c r="I1667" s="12">
        <v>0.98900999502510056</v>
      </c>
      <c r="J1667" s="3">
        <v>6205</v>
      </c>
      <c r="K1667">
        <v>1.0158013544018059</v>
      </c>
      <c r="L1667">
        <v>2.4830699774266365</v>
      </c>
      <c r="M1667">
        <v>0.8</v>
      </c>
    </row>
    <row r="1668" spans="1:15" x14ac:dyDescent="0.25">
      <c r="A1668" s="8" t="s">
        <v>344</v>
      </c>
      <c r="B1668" s="1" t="s">
        <v>335</v>
      </c>
      <c r="C1668" s="1">
        <v>2018</v>
      </c>
      <c r="D1668" s="1">
        <v>3</v>
      </c>
      <c r="E1668" s="1">
        <v>3</v>
      </c>
      <c r="F1668" s="1">
        <v>3</v>
      </c>
      <c r="G1668" s="1">
        <v>0</v>
      </c>
      <c r="H1668" s="12">
        <v>0.89847259658580403</v>
      </c>
      <c r="I1668" s="12">
        <v>1.0090241528797663</v>
      </c>
      <c r="J1668" s="3">
        <v>6184</v>
      </c>
      <c r="K1668">
        <v>1.0158013544018059</v>
      </c>
      <c r="L1668">
        <v>2.4830699774266365</v>
      </c>
      <c r="M1668">
        <v>0.8</v>
      </c>
    </row>
    <row r="1669" spans="1:15" x14ac:dyDescent="0.25">
      <c r="A1669" s="8" t="s">
        <v>345</v>
      </c>
      <c r="B1669" s="1" t="s">
        <v>335</v>
      </c>
      <c r="C1669" s="1">
        <v>2014</v>
      </c>
      <c r="D1669" s="1">
        <v>2</v>
      </c>
      <c r="E1669" s="1">
        <v>3</v>
      </c>
      <c r="F1669" s="1">
        <v>2.5</v>
      </c>
      <c r="G1669" s="1">
        <v>1</v>
      </c>
      <c r="J1669" s="3">
        <v>37338</v>
      </c>
      <c r="K1669">
        <v>2.3695147622388948</v>
      </c>
      <c r="L1669">
        <v>2.8687860959680465</v>
      </c>
      <c r="M1669">
        <v>8.3000000000000007</v>
      </c>
    </row>
    <row r="1670" spans="1:15" x14ac:dyDescent="0.25">
      <c r="A1670" s="8" t="s">
        <v>345</v>
      </c>
      <c r="B1670" s="1" t="s">
        <v>335</v>
      </c>
      <c r="C1670" s="1">
        <v>2015</v>
      </c>
      <c r="D1670" s="1">
        <v>2</v>
      </c>
      <c r="E1670" s="1">
        <v>3</v>
      </c>
      <c r="F1670" s="1">
        <v>2.5</v>
      </c>
      <c r="G1670" s="1">
        <v>1</v>
      </c>
      <c r="H1670" s="2">
        <v>0.953139964427418</v>
      </c>
      <c r="I1670" s="2">
        <v>1.0094333079003954</v>
      </c>
      <c r="J1670" s="3">
        <v>37429</v>
      </c>
      <c r="K1670">
        <v>2.3695147622388948</v>
      </c>
      <c r="L1670">
        <v>2.8687860959680465</v>
      </c>
      <c r="M1670">
        <v>8.3000000000000007</v>
      </c>
    </row>
    <row r="1671" spans="1:15" x14ac:dyDescent="0.25">
      <c r="A1671" t="s">
        <v>345</v>
      </c>
      <c r="B1671" s="1" t="s">
        <v>335</v>
      </c>
      <c r="C1671" s="1">
        <v>2016</v>
      </c>
      <c r="D1671" s="1">
        <v>2</v>
      </c>
      <c r="E1671" s="1">
        <v>3</v>
      </c>
      <c r="F1671" s="1">
        <v>2.5</v>
      </c>
      <c r="G1671" s="1">
        <v>1</v>
      </c>
      <c r="H1671" s="2">
        <v>0.77635467980295603</v>
      </c>
      <c r="I1671" s="2">
        <v>1.0989489387672069</v>
      </c>
      <c r="J1671" s="3">
        <v>37054</v>
      </c>
      <c r="K1671">
        <v>2.3695147622388948</v>
      </c>
      <c r="L1671">
        <v>2.8687860959680465</v>
      </c>
      <c r="M1671">
        <v>8.3000000000000007</v>
      </c>
      <c r="O1671" s="7"/>
    </row>
    <row r="1672" spans="1:15" x14ac:dyDescent="0.25">
      <c r="A1672" t="s">
        <v>345</v>
      </c>
      <c r="B1672" s="1" t="s">
        <v>335</v>
      </c>
      <c r="C1672" s="1">
        <v>2017</v>
      </c>
      <c r="D1672" s="1">
        <v>2</v>
      </c>
      <c r="E1672" s="1">
        <v>3</v>
      </c>
      <c r="F1672" s="1">
        <v>2.5</v>
      </c>
      <c r="G1672" s="1">
        <v>1</v>
      </c>
      <c r="H1672" s="12">
        <v>0.918785646387833</v>
      </c>
      <c r="I1672" s="12">
        <v>1.0516275548826646</v>
      </c>
      <c r="J1672" s="3">
        <v>37597</v>
      </c>
      <c r="K1672">
        <v>2.3695147622388948</v>
      </c>
      <c r="L1672">
        <v>2.8687860959680465</v>
      </c>
      <c r="M1672">
        <v>8.3000000000000007</v>
      </c>
    </row>
    <row r="1673" spans="1:15" x14ac:dyDescent="0.25">
      <c r="A1673" s="8" t="s">
        <v>345</v>
      </c>
      <c r="B1673" s="1" t="s">
        <v>335</v>
      </c>
      <c r="C1673" s="1">
        <v>2018</v>
      </c>
      <c r="D1673" s="1">
        <v>2</v>
      </c>
      <c r="E1673" s="1">
        <v>3</v>
      </c>
      <c r="F1673" s="1">
        <v>2.5</v>
      </c>
      <c r="G1673" s="1">
        <v>1</v>
      </c>
      <c r="H1673" s="12">
        <v>0.94641530991145395</v>
      </c>
      <c r="I1673" s="12">
        <v>1.0248912779233408</v>
      </c>
      <c r="J1673" s="3">
        <v>37592</v>
      </c>
      <c r="K1673">
        <v>2.3695147622388948</v>
      </c>
      <c r="L1673">
        <v>2.8687860959680465</v>
      </c>
      <c r="M1673">
        <v>8.3000000000000007</v>
      </c>
    </row>
    <row r="1674" spans="1:15" x14ac:dyDescent="0.25">
      <c r="A1674" s="8" t="s">
        <v>346</v>
      </c>
      <c r="B1674" s="1" t="s">
        <v>335</v>
      </c>
      <c r="C1674" s="1">
        <v>2014</v>
      </c>
      <c r="D1674" s="1">
        <v>1</v>
      </c>
      <c r="E1674" s="1">
        <v>2</v>
      </c>
      <c r="F1674" s="1">
        <v>1.5</v>
      </c>
      <c r="G1674" s="1">
        <v>1</v>
      </c>
      <c r="J1674" s="3">
        <v>88070</v>
      </c>
      <c r="K1674">
        <v>0.83076596196749175</v>
      </c>
      <c r="L1674">
        <v>11.234462976734303</v>
      </c>
      <c r="M1674">
        <v>68.7</v>
      </c>
    </row>
    <row r="1675" spans="1:15" x14ac:dyDescent="0.25">
      <c r="A1675" s="8" t="s">
        <v>346</v>
      </c>
      <c r="B1675" s="1" t="s">
        <v>335</v>
      </c>
      <c r="C1675" s="1">
        <v>2015</v>
      </c>
      <c r="D1675" s="1">
        <v>1</v>
      </c>
      <c r="E1675" s="1">
        <v>2</v>
      </c>
      <c r="F1675" s="1">
        <v>1.5</v>
      </c>
      <c r="G1675" s="1">
        <v>1</v>
      </c>
      <c r="H1675" s="2">
        <v>0.44871877207629601</v>
      </c>
      <c r="I1675" s="2">
        <v>1.0448539361617448</v>
      </c>
      <c r="J1675" s="3">
        <v>92298</v>
      </c>
      <c r="K1675">
        <v>0.83076596196749175</v>
      </c>
      <c r="L1675">
        <v>11.234462976734303</v>
      </c>
      <c r="M1675">
        <v>72</v>
      </c>
    </row>
    <row r="1676" spans="1:15" x14ac:dyDescent="0.25">
      <c r="A1676" t="s">
        <v>346</v>
      </c>
      <c r="B1676" s="1" t="s">
        <v>335</v>
      </c>
      <c r="C1676" s="1">
        <v>2016</v>
      </c>
      <c r="D1676" s="1">
        <v>1</v>
      </c>
      <c r="E1676" s="1">
        <v>2</v>
      </c>
      <c r="F1676" s="1">
        <v>1.5</v>
      </c>
      <c r="G1676" s="1">
        <v>1</v>
      </c>
      <c r="H1676" s="2">
        <v>0.31538031604085198</v>
      </c>
      <c r="I1676" s="2">
        <v>1.1506193583681756</v>
      </c>
      <c r="J1676" s="3">
        <v>94130</v>
      </c>
      <c r="K1676">
        <v>0.83076596196749175</v>
      </c>
      <c r="L1676">
        <v>11.234462976734303</v>
      </c>
      <c r="M1676">
        <v>76.099999999999994</v>
      </c>
      <c r="O1676" s="7"/>
    </row>
    <row r="1677" spans="1:15" x14ac:dyDescent="0.25">
      <c r="A1677" t="s">
        <v>346</v>
      </c>
      <c r="B1677" s="1" t="s">
        <v>335</v>
      </c>
      <c r="C1677" s="1">
        <v>2017</v>
      </c>
      <c r="D1677" s="1">
        <v>1</v>
      </c>
      <c r="E1677" s="1">
        <v>2</v>
      </c>
      <c r="F1677" s="1">
        <v>1.5</v>
      </c>
      <c r="G1677" s="1">
        <v>1</v>
      </c>
      <c r="H1677" s="12">
        <v>0.63194018190949197</v>
      </c>
      <c r="I1677" s="12">
        <v>1.0386772137054647</v>
      </c>
      <c r="J1677" s="3">
        <v>102403</v>
      </c>
      <c r="K1677">
        <v>0.83076596196749175</v>
      </c>
      <c r="L1677">
        <v>11.234462976734303</v>
      </c>
      <c r="M1677">
        <v>79.8</v>
      </c>
    </row>
    <row r="1678" spans="1:15" x14ac:dyDescent="0.25">
      <c r="A1678" s="8" t="s">
        <v>346</v>
      </c>
      <c r="B1678" s="1" t="s">
        <v>335</v>
      </c>
      <c r="C1678" s="1">
        <v>2018</v>
      </c>
      <c r="D1678" s="1">
        <v>1</v>
      </c>
      <c r="E1678" s="1">
        <v>2</v>
      </c>
      <c r="F1678" s="1">
        <v>1.5</v>
      </c>
      <c r="G1678" s="1">
        <v>1</v>
      </c>
      <c r="H1678" s="12">
        <v>0.56761783304107505</v>
      </c>
      <c r="I1678" s="12">
        <v>1.0367273659912799</v>
      </c>
      <c r="J1678" s="3">
        <v>107120</v>
      </c>
      <c r="K1678">
        <v>0.83076596196749175</v>
      </c>
      <c r="L1678">
        <v>11.234462976734303</v>
      </c>
      <c r="M1678">
        <v>83.5</v>
      </c>
    </row>
    <row r="1679" spans="1:15" x14ac:dyDescent="0.25">
      <c r="A1679" s="8" t="s">
        <v>347</v>
      </c>
      <c r="B1679" s="1" t="s">
        <v>335</v>
      </c>
      <c r="C1679" s="1">
        <v>2014</v>
      </c>
      <c r="D1679" s="1">
        <v>1</v>
      </c>
      <c r="E1679" s="1">
        <v>2</v>
      </c>
      <c r="F1679" s="1">
        <v>1.5</v>
      </c>
      <c r="G1679" s="1">
        <v>1</v>
      </c>
      <c r="J1679" s="3">
        <v>287937</v>
      </c>
      <c r="K1679">
        <v>0.54026782850422317</v>
      </c>
      <c r="L1679">
        <v>35.841775366192664</v>
      </c>
      <c r="M1679">
        <v>703.3</v>
      </c>
    </row>
    <row r="1680" spans="1:15" x14ac:dyDescent="0.25">
      <c r="A1680" s="8" t="s">
        <v>347</v>
      </c>
      <c r="B1680" s="1" t="s">
        <v>335</v>
      </c>
      <c r="C1680" s="1">
        <v>2015</v>
      </c>
      <c r="D1680" s="1">
        <v>1</v>
      </c>
      <c r="E1680" s="1">
        <v>2</v>
      </c>
      <c r="F1680" s="1">
        <v>1.5</v>
      </c>
      <c r="G1680" s="1">
        <v>1</v>
      </c>
      <c r="H1680" s="2">
        <v>0.58950375090241403</v>
      </c>
      <c r="I1680" s="2">
        <v>1.2433800898023264</v>
      </c>
      <c r="J1680" s="3">
        <v>299528</v>
      </c>
      <c r="K1680">
        <v>0.54026782850422317</v>
      </c>
      <c r="L1680">
        <v>35.841775366192664</v>
      </c>
      <c r="M1680">
        <v>731.6</v>
      </c>
    </row>
    <row r="1681" spans="1:15" x14ac:dyDescent="0.25">
      <c r="A1681" t="s">
        <v>347</v>
      </c>
      <c r="B1681" s="1" t="s">
        <v>335</v>
      </c>
      <c r="C1681" s="1">
        <v>2016</v>
      </c>
      <c r="D1681" s="1">
        <v>1</v>
      </c>
      <c r="E1681" s="1">
        <v>2</v>
      </c>
      <c r="F1681" s="1">
        <v>1.5</v>
      </c>
      <c r="G1681" s="1">
        <v>1</v>
      </c>
      <c r="H1681" s="2">
        <v>0.59952178668633804</v>
      </c>
      <c r="I1681" s="2">
        <v>1.2484335624168239</v>
      </c>
      <c r="J1681" s="3">
        <v>299296</v>
      </c>
      <c r="K1681">
        <v>0.54026782850422317</v>
      </c>
      <c r="L1681">
        <v>35.841775366192664</v>
      </c>
      <c r="M1681">
        <v>764</v>
      </c>
      <c r="O1681" s="7"/>
    </row>
    <row r="1682" spans="1:15" x14ac:dyDescent="0.25">
      <c r="A1682" t="s">
        <v>347</v>
      </c>
      <c r="B1682" s="1" t="s">
        <v>335</v>
      </c>
      <c r="C1682" s="1">
        <v>2017</v>
      </c>
      <c r="D1682" s="1">
        <v>1</v>
      </c>
      <c r="E1682" s="1">
        <v>2</v>
      </c>
      <c r="F1682" s="1">
        <v>1.5</v>
      </c>
      <c r="G1682" s="1">
        <v>1</v>
      </c>
      <c r="H1682" s="12">
        <v>0.882078313253012</v>
      </c>
      <c r="I1682" s="12">
        <v>1.1596855167187645</v>
      </c>
      <c r="J1682" s="3">
        <v>326771</v>
      </c>
      <c r="K1682">
        <v>0.54026782850422317</v>
      </c>
      <c r="L1682">
        <v>35.841775366192664</v>
      </c>
      <c r="M1682">
        <v>798.1</v>
      </c>
    </row>
    <row r="1683" spans="1:15" x14ac:dyDescent="0.25">
      <c r="A1683" s="8" t="s">
        <v>347</v>
      </c>
      <c r="B1683" s="1" t="s">
        <v>335</v>
      </c>
      <c r="C1683" s="1">
        <v>2018</v>
      </c>
      <c r="D1683" s="1">
        <v>1</v>
      </c>
      <c r="E1683" s="1">
        <v>2</v>
      </c>
      <c r="F1683" s="1">
        <v>1.5</v>
      </c>
      <c r="G1683" s="1">
        <v>1</v>
      </c>
      <c r="H1683" s="12">
        <v>0.76502808988764004</v>
      </c>
      <c r="I1683" s="12">
        <v>1.1555637942905566</v>
      </c>
      <c r="J1683" s="3">
        <v>340419</v>
      </c>
      <c r="K1683">
        <v>0.54026782850422317</v>
      </c>
      <c r="L1683">
        <v>35.841775366192664</v>
      </c>
      <c r="M1683">
        <v>831.4</v>
      </c>
    </row>
    <row r="1684" spans="1:15" x14ac:dyDescent="0.25">
      <c r="A1684" s="8" t="s">
        <v>348</v>
      </c>
      <c r="B1684" s="1" t="s">
        <v>335</v>
      </c>
      <c r="C1684" s="1">
        <v>2014</v>
      </c>
      <c r="D1684" s="1">
        <v>2</v>
      </c>
      <c r="E1684" s="1">
        <v>2</v>
      </c>
      <c r="F1684" s="1">
        <v>2</v>
      </c>
      <c r="G1684" s="1">
        <v>0</v>
      </c>
      <c r="J1684" s="3">
        <v>12884</v>
      </c>
      <c r="K1684">
        <v>1.4854152235819287</v>
      </c>
      <c r="L1684">
        <v>2.3859001000538749</v>
      </c>
      <c r="M1684">
        <v>8.4</v>
      </c>
    </row>
    <row r="1685" spans="1:15" x14ac:dyDescent="0.25">
      <c r="A1685" s="8" t="s">
        <v>348</v>
      </c>
      <c r="B1685" s="1" t="s">
        <v>335</v>
      </c>
      <c r="C1685" s="1">
        <v>2015</v>
      </c>
      <c r="D1685" s="1">
        <v>2</v>
      </c>
      <c r="E1685" s="1">
        <v>2</v>
      </c>
      <c r="F1685" s="1">
        <v>2</v>
      </c>
      <c r="G1685" s="1">
        <v>0</v>
      </c>
      <c r="H1685" s="2">
        <v>0.64320900774102696</v>
      </c>
      <c r="I1685" s="2">
        <v>0.93373586647180995</v>
      </c>
      <c r="J1685" s="3">
        <v>12950</v>
      </c>
      <c r="K1685">
        <v>1.4854152235819287</v>
      </c>
      <c r="L1685">
        <v>2.3859001000538749</v>
      </c>
      <c r="M1685">
        <v>8.4</v>
      </c>
    </row>
    <row r="1686" spans="1:15" x14ac:dyDescent="0.25">
      <c r="A1686" t="s">
        <v>348</v>
      </c>
      <c r="B1686" s="1" t="s">
        <v>335</v>
      </c>
      <c r="C1686" s="1">
        <v>2016</v>
      </c>
      <c r="D1686" s="1">
        <v>2</v>
      </c>
      <c r="E1686" s="1">
        <v>2</v>
      </c>
      <c r="F1686" s="1">
        <v>2</v>
      </c>
      <c r="G1686" s="1">
        <v>0</v>
      </c>
      <c r="H1686" s="2">
        <v>0.43930465527401302</v>
      </c>
      <c r="I1686" s="2">
        <v>0.98997139729510231</v>
      </c>
      <c r="J1686" s="3">
        <v>12993</v>
      </c>
      <c r="K1686">
        <v>1.4854152235819287</v>
      </c>
      <c r="L1686">
        <v>2.3859001000538749</v>
      </c>
      <c r="M1686">
        <v>8.5</v>
      </c>
      <c r="O1686" s="7"/>
    </row>
    <row r="1687" spans="1:15" x14ac:dyDescent="0.25">
      <c r="A1687" t="s">
        <v>348</v>
      </c>
      <c r="B1687" s="1" t="s">
        <v>335</v>
      </c>
      <c r="C1687" s="1">
        <v>2017</v>
      </c>
      <c r="D1687" s="1">
        <v>2</v>
      </c>
      <c r="E1687" s="1">
        <v>2</v>
      </c>
      <c r="F1687" s="1">
        <v>2</v>
      </c>
      <c r="G1687" s="1">
        <v>0</v>
      </c>
      <c r="H1687" s="12">
        <v>0.59286808138263003</v>
      </c>
      <c r="I1687" s="12">
        <v>0.98101439610873575</v>
      </c>
      <c r="J1687" s="3">
        <v>13148</v>
      </c>
      <c r="K1687">
        <v>1.4854152235819287</v>
      </c>
      <c r="L1687">
        <v>2.3859001000538749</v>
      </c>
      <c r="M1687">
        <v>8.6</v>
      </c>
    </row>
    <row r="1688" spans="1:15" x14ac:dyDescent="0.25">
      <c r="A1688" s="8" t="s">
        <v>348</v>
      </c>
      <c r="B1688" s="1" t="s">
        <v>335</v>
      </c>
      <c r="C1688" s="1">
        <v>2018</v>
      </c>
      <c r="D1688" s="1">
        <v>2</v>
      </c>
      <c r="E1688" s="1">
        <v>2</v>
      </c>
      <c r="F1688" s="1">
        <v>2</v>
      </c>
      <c r="G1688" s="1">
        <v>0</v>
      </c>
      <c r="H1688" s="12">
        <v>0.62065193611901104</v>
      </c>
      <c r="I1688" s="12">
        <v>1</v>
      </c>
      <c r="J1688" s="3">
        <v>13209</v>
      </c>
      <c r="K1688">
        <v>1.4854152235819287</v>
      </c>
      <c r="L1688">
        <v>2.3859001000538749</v>
      </c>
      <c r="M1688">
        <v>8.6</v>
      </c>
    </row>
    <row r="1689" spans="1:15" x14ac:dyDescent="0.25">
      <c r="A1689" s="8" t="s">
        <v>349</v>
      </c>
      <c r="B1689" s="1" t="s">
        <v>335</v>
      </c>
      <c r="C1689" s="1">
        <v>2014</v>
      </c>
      <c r="D1689" s="1">
        <v>2</v>
      </c>
      <c r="E1689" s="1">
        <v>3</v>
      </c>
      <c r="F1689" s="1">
        <v>2.5</v>
      </c>
      <c r="G1689" s="1">
        <v>1</v>
      </c>
      <c r="J1689" s="3">
        <v>21131</v>
      </c>
      <c r="K1689">
        <v>1.1873539649992846</v>
      </c>
      <c r="L1689">
        <v>4.1724285918649562</v>
      </c>
      <c r="M1689">
        <v>6.1</v>
      </c>
    </row>
    <row r="1690" spans="1:15" x14ac:dyDescent="0.25">
      <c r="A1690" s="8" t="s">
        <v>349</v>
      </c>
      <c r="B1690" s="1" t="s">
        <v>335</v>
      </c>
      <c r="C1690" s="1">
        <v>2015</v>
      </c>
      <c r="D1690" s="1">
        <v>2</v>
      </c>
      <c r="E1690" s="1">
        <v>3</v>
      </c>
      <c r="F1690" s="1">
        <v>2.5</v>
      </c>
      <c r="G1690" s="1">
        <v>1</v>
      </c>
      <c r="H1690" s="2">
        <v>1.01507008114659</v>
      </c>
      <c r="I1690" s="2">
        <v>1.1153568181288318</v>
      </c>
      <c r="J1690" s="3">
        <v>21230</v>
      </c>
      <c r="K1690">
        <v>1.1873539649992846</v>
      </c>
      <c r="L1690">
        <v>4.1724285918649562</v>
      </c>
      <c r="M1690">
        <v>6.2</v>
      </c>
    </row>
    <row r="1691" spans="1:15" x14ac:dyDescent="0.25">
      <c r="A1691" t="s">
        <v>349</v>
      </c>
      <c r="B1691" s="1" t="s">
        <v>335</v>
      </c>
      <c r="C1691" s="1">
        <v>2016</v>
      </c>
      <c r="D1691" s="1">
        <v>2</v>
      </c>
      <c r="E1691" s="1">
        <v>3</v>
      </c>
      <c r="F1691" s="1">
        <v>2.5</v>
      </c>
      <c r="G1691" s="1">
        <v>1</v>
      </c>
      <c r="H1691" s="2">
        <v>0.97655115169122197</v>
      </c>
      <c r="I1691" s="2">
        <v>1.1021977317870186</v>
      </c>
      <c r="J1691" s="3">
        <v>20971</v>
      </c>
      <c r="K1691">
        <v>1.1873539649992846</v>
      </c>
      <c r="L1691">
        <v>4.1724285918649562</v>
      </c>
      <c r="M1691">
        <v>6.2</v>
      </c>
      <c r="O1691" s="7"/>
    </row>
    <row r="1692" spans="1:15" x14ac:dyDescent="0.25">
      <c r="A1692" t="s">
        <v>349</v>
      </c>
      <c r="B1692" s="1" t="s">
        <v>335</v>
      </c>
      <c r="C1692" s="1">
        <v>2017</v>
      </c>
      <c r="D1692" s="1">
        <v>2</v>
      </c>
      <c r="E1692" s="1">
        <v>3</v>
      </c>
      <c r="F1692" s="1">
        <v>2.5</v>
      </c>
      <c r="G1692" s="1">
        <v>1</v>
      </c>
      <c r="H1692" s="12">
        <v>1.06973279030496</v>
      </c>
      <c r="I1692" s="12">
        <v>1.0073041022132976</v>
      </c>
      <c r="J1692" s="3">
        <v>21430</v>
      </c>
      <c r="K1692">
        <v>1.1873539649992846</v>
      </c>
      <c r="L1692">
        <v>4.1724285918649562</v>
      </c>
      <c r="M1692">
        <v>6.2</v>
      </c>
    </row>
    <row r="1693" spans="1:15" x14ac:dyDescent="0.25">
      <c r="A1693" s="8" t="s">
        <v>349</v>
      </c>
      <c r="B1693" s="1" t="s">
        <v>335</v>
      </c>
      <c r="C1693" s="1">
        <v>2018</v>
      </c>
      <c r="D1693" s="1">
        <v>2</v>
      </c>
      <c r="E1693" s="1">
        <v>3</v>
      </c>
      <c r="F1693" s="1">
        <v>2.5</v>
      </c>
      <c r="G1693" s="1">
        <v>1</v>
      </c>
      <c r="H1693" s="12">
        <v>1.08250856490293</v>
      </c>
      <c r="I1693" s="12">
        <v>0.98880858008859884</v>
      </c>
      <c r="J1693" s="3">
        <v>21503</v>
      </c>
      <c r="K1693">
        <v>1.1873539649992846</v>
      </c>
      <c r="L1693">
        <v>4.1724285918649562</v>
      </c>
      <c r="M1693">
        <v>6.3</v>
      </c>
    </row>
    <row r="1694" spans="1:15" x14ac:dyDescent="0.25">
      <c r="A1694" s="8" t="s">
        <v>350</v>
      </c>
      <c r="B1694" s="1" t="s">
        <v>335</v>
      </c>
      <c r="C1694" s="1">
        <v>2014</v>
      </c>
      <c r="D1694" s="1">
        <v>2</v>
      </c>
      <c r="E1694" s="1">
        <v>3</v>
      </c>
      <c r="F1694" s="1">
        <v>2.5</v>
      </c>
      <c r="G1694" s="1">
        <v>1</v>
      </c>
      <c r="J1694" s="3">
        <v>16340</v>
      </c>
      <c r="K1694">
        <v>0.93440478415249484</v>
      </c>
      <c r="L1694">
        <v>1.6134055939699743</v>
      </c>
      <c r="M1694">
        <v>3.7</v>
      </c>
    </row>
    <row r="1695" spans="1:15" x14ac:dyDescent="0.25">
      <c r="A1695" s="8" t="s">
        <v>350</v>
      </c>
      <c r="B1695" s="1" t="s">
        <v>335</v>
      </c>
      <c r="C1695" s="1">
        <v>2015</v>
      </c>
      <c r="D1695" s="1">
        <v>2</v>
      </c>
      <c r="E1695" s="1">
        <v>3</v>
      </c>
      <c r="F1695" s="1">
        <v>2.5</v>
      </c>
      <c r="G1695" s="1">
        <v>1</v>
      </c>
      <c r="H1695" s="2">
        <v>1.04706708816298</v>
      </c>
      <c r="I1695" s="2">
        <v>1.0470084424323993</v>
      </c>
      <c r="J1695" s="3">
        <v>16274</v>
      </c>
      <c r="K1695">
        <v>0.93440478415249484</v>
      </c>
      <c r="L1695">
        <v>1.6134055939699743</v>
      </c>
      <c r="M1695">
        <v>3.7</v>
      </c>
    </row>
    <row r="1696" spans="1:15" x14ac:dyDescent="0.25">
      <c r="A1696" t="s">
        <v>350</v>
      </c>
      <c r="B1696" s="1" t="s">
        <v>335</v>
      </c>
      <c r="C1696" s="1">
        <v>2016</v>
      </c>
      <c r="D1696" s="1">
        <v>2</v>
      </c>
      <c r="E1696" s="1">
        <v>3</v>
      </c>
      <c r="F1696" s="1">
        <v>2.5</v>
      </c>
      <c r="G1696" s="1">
        <v>1</v>
      </c>
      <c r="H1696" s="2">
        <v>0.91786129407206496</v>
      </c>
      <c r="I1696" s="2">
        <v>1.0587409487217379</v>
      </c>
      <c r="J1696" s="3">
        <v>16053</v>
      </c>
      <c r="K1696">
        <v>0.93440478415249484</v>
      </c>
      <c r="L1696">
        <v>1.6134055939699743</v>
      </c>
      <c r="M1696">
        <v>3.7</v>
      </c>
      <c r="O1696" s="7"/>
    </row>
    <row r="1697" spans="1:15" x14ac:dyDescent="0.25">
      <c r="A1697" t="s">
        <v>350</v>
      </c>
      <c r="B1697" s="1" t="s">
        <v>335</v>
      </c>
      <c r="C1697" s="1">
        <v>2017</v>
      </c>
      <c r="D1697" s="1">
        <v>2</v>
      </c>
      <c r="E1697" s="1">
        <v>3</v>
      </c>
      <c r="F1697" s="1">
        <v>2.5</v>
      </c>
      <c r="G1697" s="1">
        <v>1</v>
      </c>
      <c r="H1697" s="12">
        <v>0.87181594083812697</v>
      </c>
      <c r="I1697" s="12">
        <v>1.0035475167382832</v>
      </c>
      <c r="J1697" s="3">
        <v>16210</v>
      </c>
      <c r="K1697">
        <v>0.93440478415249484</v>
      </c>
      <c r="L1697">
        <v>1.6134055939699743</v>
      </c>
      <c r="M1697">
        <v>3.7</v>
      </c>
    </row>
    <row r="1698" spans="1:15" x14ac:dyDescent="0.25">
      <c r="A1698" s="8" t="s">
        <v>350</v>
      </c>
      <c r="B1698" s="1" t="s">
        <v>335</v>
      </c>
      <c r="C1698" s="1">
        <v>2018</v>
      </c>
      <c r="D1698" s="1">
        <v>2</v>
      </c>
      <c r="E1698" s="1">
        <v>3</v>
      </c>
      <c r="F1698" s="1">
        <v>2.5</v>
      </c>
      <c r="G1698" s="1">
        <v>1</v>
      </c>
      <c r="H1698" s="12">
        <v>1.08978950126649</v>
      </c>
      <c r="I1698" s="12">
        <v>0.99580280459993209</v>
      </c>
      <c r="J1698" s="3">
        <v>16140</v>
      </c>
      <c r="K1698">
        <v>0.93440478415249484</v>
      </c>
      <c r="L1698">
        <v>1.6134055939699743</v>
      </c>
      <c r="M1698">
        <v>3.7</v>
      </c>
    </row>
    <row r="1699" spans="1:15" x14ac:dyDescent="0.25">
      <c r="A1699" s="8" t="s">
        <v>351</v>
      </c>
      <c r="B1699" s="1" t="s">
        <v>335</v>
      </c>
      <c r="C1699" s="1">
        <v>2014</v>
      </c>
      <c r="D1699" s="1">
        <v>1</v>
      </c>
      <c r="E1699" s="1">
        <v>1</v>
      </c>
      <c r="F1699" s="1">
        <v>1</v>
      </c>
      <c r="G1699" s="1">
        <v>0</v>
      </c>
      <c r="J1699" s="3">
        <v>149511</v>
      </c>
      <c r="K1699">
        <v>0.79197393710554664</v>
      </c>
      <c r="L1699">
        <v>37.031256389634819</v>
      </c>
      <c r="M1699">
        <v>2796.1</v>
      </c>
    </row>
    <row r="1700" spans="1:15" x14ac:dyDescent="0.25">
      <c r="A1700" s="8" t="s">
        <v>351</v>
      </c>
      <c r="B1700" s="1" t="s">
        <v>335</v>
      </c>
      <c r="C1700" s="1">
        <v>2015</v>
      </c>
      <c r="D1700" s="1">
        <v>1</v>
      </c>
      <c r="E1700" s="1">
        <v>1</v>
      </c>
      <c r="F1700" s="1">
        <v>1</v>
      </c>
      <c r="G1700" s="1">
        <v>0</v>
      </c>
      <c r="H1700" s="2">
        <v>0.60275732569056695</v>
      </c>
      <c r="I1700" s="2">
        <v>0.98100260040450749</v>
      </c>
      <c r="J1700" s="3">
        <v>151974</v>
      </c>
      <c r="K1700">
        <v>0.79197393710554664</v>
      </c>
      <c r="L1700">
        <v>37.031256389634819</v>
      </c>
      <c r="M1700">
        <v>2842.2</v>
      </c>
    </row>
    <row r="1701" spans="1:15" x14ac:dyDescent="0.25">
      <c r="A1701" t="s">
        <v>351</v>
      </c>
      <c r="B1701" s="1" t="s">
        <v>335</v>
      </c>
      <c r="C1701" s="1">
        <v>2016</v>
      </c>
      <c r="D1701" s="1">
        <v>1</v>
      </c>
      <c r="E1701" s="1">
        <v>1</v>
      </c>
      <c r="F1701" s="1">
        <v>1</v>
      </c>
      <c r="G1701" s="1">
        <v>0</v>
      </c>
      <c r="H1701" s="2">
        <v>0.78951504784799598</v>
      </c>
      <c r="I1701" s="2">
        <v>1.0946347838843471</v>
      </c>
      <c r="J1701" s="3">
        <v>146722</v>
      </c>
      <c r="K1701">
        <v>0.79197393710554664</v>
      </c>
      <c r="L1701">
        <v>37.031256389634819</v>
      </c>
      <c r="M1701">
        <v>2901.1</v>
      </c>
      <c r="O1701" s="7"/>
    </row>
    <row r="1702" spans="1:15" x14ac:dyDescent="0.25">
      <c r="A1702" t="s">
        <v>351</v>
      </c>
      <c r="B1702" s="1" t="s">
        <v>335</v>
      </c>
      <c r="C1702" s="1">
        <v>2017</v>
      </c>
      <c r="D1702" s="1">
        <v>1</v>
      </c>
      <c r="E1702" s="1">
        <v>1</v>
      </c>
      <c r="F1702" s="1">
        <v>1</v>
      </c>
      <c r="G1702" s="1">
        <v>0</v>
      </c>
      <c r="H1702" s="12">
        <v>0.67985738201523205</v>
      </c>
      <c r="I1702" s="12">
        <v>1.004775029505879</v>
      </c>
      <c r="J1702" s="3">
        <v>158751</v>
      </c>
      <c r="K1702">
        <v>0.79197393710554664</v>
      </c>
      <c r="L1702">
        <v>37.031256389634819</v>
      </c>
      <c r="M1702">
        <v>2968.9</v>
      </c>
    </row>
    <row r="1703" spans="1:15" x14ac:dyDescent="0.25">
      <c r="A1703" s="8" t="s">
        <v>351</v>
      </c>
      <c r="B1703" s="1" t="s">
        <v>335</v>
      </c>
      <c r="C1703" s="1">
        <v>2018</v>
      </c>
      <c r="D1703" s="1">
        <v>1</v>
      </c>
      <c r="E1703" s="1">
        <v>1</v>
      </c>
      <c r="F1703" s="1">
        <v>1</v>
      </c>
      <c r="G1703" s="1">
        <v>0</v>
      </c>
      <c r="H1703" s="12">
        <v>0.67375552517715798</v>
      </c>
      <c r="I1703" s="12">
        <v>1.0048581098355267</v>
      </c>
      <c r="J1703" s="3">
        <v>161609</v>
      </c>
      <c r="K1703">
        <v>0.79197393710554664</v>
      </c>
      <c r="L1703">
        <v>37.031256389634819</v>
      </c>
      <c r="M1703">
        <v>3022.4</v>
      </c>
    </row>
    <row r="1704" spans="1:15" x14ac:dyDescent="0.25">
      <c r="A1704" s="8" t="s">
        <v>352</v>
      </c>
      <c r="B1704" s="1" t="s">
        <v>335</v>
      </c>
      <c r="C1704" s="1">
        <v>2014</v>
      </c>
      <c r="D1704" s="1">
        <v>3</v>
      </c>
      <c r="E1704" s="1">
        <v>4</v>
      </c>
      <c r="F1704" s="1">
        <v>3.5</v>
      </c>
      <c r="G1704" s="1">
        <v>1</v>
      </c>
      <c r="J1704" s="3">
        <v>44277</v>
      </c>
      <c r="K1704">
        <v>2.8529561954663527</v>
      </c>
      <c r="L1704">
        <v>3.4968140138984478</v>
      </c>
      <c r="M1704">
        <v>2.1</v>
      </c>
    </row>
    <row r="1705" spans="1:15" x14ac:dyDescent="0.25">
      <c r="A1705" s="8" t="s">
        <v>352</v>
      </c>
      <c r="B1705" s="1" t="s">
        <v>335</v>
      </c>
      <c r="C1705" s="1">
        <v>2015</v>
      </c>
      <c r="D1705" s="1">
        <v>3</v>
      </c>
      <c r="E1705" s="1">
        <v>4</v>
      </c>
      <c r="F1705" s="1">
        <v>3.5</v>
      </c>
      <c r="G1705" s="1">
        <v>1</v>
      </c>
      <c r="H1705" s="2">
        <v>1.29529459079027</v>
      </c>
      <c r="I1705" s="2">
        <v>1.0375088300348569</v>
      </c>
      <c r="J1705" s="3">
        <v>44868</v>
      </c>
      <c r="K1705">
        <v>2.8529561954663527</v>
      </c>
      <c r="L1705">
        <v>3.4968140138984478</v>
      </c>
      <c r="M1705">
        <v>2.1</v>
      </c>
    </row>
    <row r="1706" spans="1:15" x14ac:dyDescent="0.25">
      <c r="A1706" t="s">
        <v>352</v>
      </c>
      <c r="B1706" s="1" t="s">
        <v>335</v>
      </c>
      <c r="C1706" s="1">
        <v>2016</v>
      </c>
      <c r="D1706" s="1">
        <v>3</v>
      </c>
      <c r="E1706" s="1">
        <v>4</v>
      </c>
      <c r="F1706" s="1">
        <v>3.5</v>
      </c>
      <c r="G1706" s="1">
        <v>1</v>
      </c>
      <c r="H1706" s="2">
        <v>0.89952649379932403</v>
      </c>
      <c r="I1706" s="2">
        <v>1.0782080654847965</v>
      </c>
      <c r="J1706" s="3">
        <v>45041</v>
      </c>
      <c r="K1706">
        <v>2.8529561954663527</v>
      </c>
      <c r="L1706">
        <v>3.4968140138984478</v>
      </c>
      <c r="M1706">
        <v>2.2000000000000002</v>
      </c>
      <c r="O1706" s="7"/>
    </row>
    <row r="1707" spans="1:15" x14ac:dyDescent="0.25">
      <c r="A1707" t="s">
        <v>352</v>
      </c>
      <c r="B1707" s="1" t="s">
        <v>335</v>
      </c>
      <c r="C1707" s="1">
        <v>2017</v>
      </c>
      <c r="D1707" s="1">
        <v>3</v>
      </c>
      <c r="E1707" s="1">
        <v>4</v>
      </c>
      <c r="F1707" s="1">
        <v>3.5</v>
      </c>
      <c r="G1707" s="1">
        <v>1</v>
      </c>
      <c r="H1707" s="12">
        <v>0.87305877502405105</v>
      </c>
      <c r="I1707" s="12">
        <v>1.0531785346937328</v>
      </c>
      <c r="J1707" s="3">
        <v>46136</v>
      </c>
      <c r="K1707">
        <v>2.8529561954663527</v>
      </c>
      <c r="L1707">
        <v>3.4968140138984478</v>
      </c>
      <c r="M1707">
        <v>2.2000000000000002</v>
      </c>
    </row>
    <row r="1708" spans="1:15" x14ac:dyDescent="0.25">
      <c r="A1708" s="8" t="s">
        <v>352</v>
      </c>
      <c r="B1708" s="1" t="s">
        <v>335</v>
      </c>
      <c r="C1708" s="1">
        <v>2018</v>
      </c>
      <c r="D1708" s="1">
        <v>3</v>
      </c>
      <c r="E1708" s="1">
        <v>4</v>
      </c>
      <c r="F1708" s="1">
        <v>3.5</v>
      </c>
      <c r="G1708" s="1">
        <v>1</v>
      </c>
      <c r="H1708" s="12">
        <v>0.76946069970108999</v>
      </c>
      <c r="I1708" s="12">
        <v>1.0414278508872483</v>
      </c>
      <c r="J1708" s="3">
        <v>46818</v>
      </c>
      <c r="K1708">
        <v>2.8529561954663527</v>
      </c>
      <c r="L1708">
        <v>3.4968140138984478</v>
      </c>
      <c r="M1708">
        <v>2.2000000000000002</v>
      </c>
    </row>
    <row r="1709" spans="1:15" x14ac:dyDescent="0.25">
      <c r="A1709" s="8" t="s">
        <v>353</v>
      </c>
      <c r="B1709" s="1" t="s">
        <v>335</v>
      </c>
      <c r="C1709" s="1">
        <v>2014</v>
      </c>
      <c r="D1709" s="1">
        <v>1</v>
      </c>
      <c r="E1709" s="1">
        <v>1</v>
      </c>
      <c r="F1709" s="1">
        <v>1</v>
      </c>
      <c r="G1709" s="1">
        <v>0</v>
      </c>
      <c r="J1709" s="3">
        <v>136181</v>
      </c>
      <c r="K1709">
        <v>1.0033993320610688</v>
      </c>
      <c r="L1709">
        <v>11.377325858778626</v>
      </c>
      <c r="M1709">
        <v>1050.8</v>
      </c>
    </row>
    <row r="1710" spans="1:15" x14ac:dyDescent="0.25">
      <c r="A1710" s="8" t="s">
        <v>353</v>
      </c>
      <c r="B1710" s="1" t="s">
        <v>335</v>
      </c>
      <c r="C1710" s="1">
        <v>2015</v>
      </c>
      <c r="D1710" s="1">
        <v>1</v>
      </c>
      <c r="E1710" s="1">
        <v>1</v>
      </c>
      <c r="F1710" s="1">
        <v>1</v>
      </c>
      <c r="G1710" s="1">
        <v>0</v>
      </c>
      <c r="H1710" s="2">
        <v>0.70047713063507699</v>
      </c>
      <c r="I1710" s="2">
        <v>1.0351857803613598</v>
      </c>
      <c r="J1710" s="3">
        <v>137790</v>
      </c>
      <c r="K1710">
        <v>1.0033993320610688</v>
      </c>
      <c r="L1710">
        <v>11.377325858778626</v>
      </c>
      <c r="M1710">
        <v>1063.2</v>
      </c>
    </row>
    <row r="1711" spans="1:15" x14ac:dyDescent="0.25">
      <c r="A1711" t="s">
        <v>353</v>
      </c>
      <c r="B1711" s="1" t="s">
        <v>335</v>
      </c>
      <c r="C1711" s="1">
        <v>2016</v>
      </c>
      <c r="D1711" s="1">
        <v>1</v>
      </c>
      <c r="E1711" s="1">
        <v>1</v>
      </c>
      <c r="F1711" s="1">
        <v>1</v>
      </c>
      <c r="G1711" s="1">
        <v>0</v>
      </c>
      <c r="H1711" s="2">
        <v>0.60152919206511402</v>
      </c>
      <c r="I1711" s="2">
        <v>1.1764345081391019</v>
      </c>
      <c r="J1711" s="3">
        <v>134144</v>
      </c>
      <c r="K1711">
        <v>1.0033993320610688</v>
      </c>
      <c r="L1711">
        <v>11.377325858778626</v>
      </c>
      <c r="M1711">
        <v>1076.4000000000001</v>
      </c>
      <c r="O1711" s="7"/>
    </row>
    <row r="1712" spans="1:15" x14ac:dyDescent="0.25">
      <c r="A1712" t="s">
        <v>353</v>
      </c>
      <c r="B1712" s="1" t="s">
        <v>335</v>
      </c>
      <c r="C1712" s="1">
        <v>2017</v>
      </c>
      <c r="D1712" s="1">
        <v>1</v>
      </c>
      <c r="E1712" s="1">
        <v>1</v>
      </c>
      <c r="F1712" s="1">
        <v>1</v>
      </c>
      <c r="G1712" s="1">
        <v>0</v>
      </c>
      <c r="H1712" s="12">
        <v>0.86829794890248302</v>
      </c>
      <c r="I1712" s="12">
        <v>1.1026856354269778</v>
      </c>
      <c r="J1712" s="3">
        <v>140718</v>
      </c>
      <c r="K1712">
        <v>1.0033993320610688</v>
      </c>
      <c r="L1712">
        <v>11.377325858778626</v>
      </c>
      <c r="M1712">
        <v>1085.8</v>
      </c>
    </row>
    <row r="1713" spans="1:15" x14ac:dyDescent="0.25">
      <c r="A1713" s="8" t="s">
        <v>353</v>
      </c>
      <c r="B1713" s="1" t="s">
        <v>335</v>
      </c>
      <c r="C1713" s="1">
        <v>2018</v>
      </c>
      <c r="D1713" s="1">
        <v>1</v>
      </c>
      <c r="E1713" s="1">
        <v>1</v>
      </c>
      <c r="F1713" s="1">
        <v>1</v>
      </c>
      <c r="G1713" s="1">
        <v>0</v>
      </c>
      <c r="H1713" s="12">
        <v>0.87430158138904901</v>
      </c>
      <c r="I1713" s="12">
        <v>1.103683482873427</v>
      </c>
      <c r="J1713" s="3">
        <v>141845</v>
      </c>
      <c r="K1713">
        <v>1.0033993320610688</v>
      </c>
      <c r="L1713">
        <v>11.377325858778626</v>
      </c>
      <c r="M1713">
        <v>1094.5</v>
      </c>
    </row>
    <row r="1714" spans="1:15" x14ac:dyDescent="0.25">
      <c r="A1714" s="8" t="s">
        <v>354</v>
      </c>
      <c r="B1714" s="1" t="s">
        <v>335</v>
      </c>
      <c r="C1714" s="1">
        <v>2014</v>
      </c>
      <c r="D1714" s="1">
        <v>3</v>
      </c>
      <c r="E1714" s="1">
        <v>3</v>
      </c>
      <c r="F1714" s="1">
        <v>3</v>
      </c>
      <c r="G1714" s="1">
        <v>0</v>
      </c>
      <c r="J1714" s="3">
        <v>10534</v>
      </c>
      <c r="K1714">
        <v>1.8486916951080772</v>
      </c>
      <c r="L1714">
        <v>1.9529768676526356</v>
      </c>
      <c r="M1714">
        <v>2.8</v>
      </c>
    </row>
    <row r="1715" spans="1:15" x14ac:dyDescent="0.25">
      <c r="A1715" s="8" t="s">
        <v>354</v>
      </c>
      <c r="B1715" s="1" t="s">
        <v>335</v>
      </c>
      <c r="C1715" s="1">
        <v>2015</v>
      </c>
      <c r="D1715" s="1">
        <v>3</v>
      </c>
      <c r="E1715" s="1">
        <v>3</v>
      </c>
      <c r="F1715" s="1">
        <v>3</v>
      </c>
      <c r="G1715" s="1">
        <v>0</v>
      </c>
      <c r="H1715" s="2">
        <v>1.3850225445991</v>
      </c>
      <c r="I1715" s="2">
        <v>1.1072917096521273</v>
      </c>
      <c r="J1715" s="3">
        <v>10536</v>
      </c>
      <c r="K1715">
        <v>1.8486916951080772</v>
      </c>
      <c r="L1715">
        <v>1.9529768676526356</v>
      </c>
      <c r="M1715">
        <v>2.8</v>
      </c>
    </row>
    <row r="1716" spans="1:15" x14ac:dyDescent="0.25">
      <c r="A1716" t="s">
        <v>354</v>
      </c>
      <c r="B1716" s="1" t="s">
        <v>335</v>
      </c>
      <c r="C1716" s="1">
        <v>2016</v>
      </c>
      <c r="D1716" s="1">
        <v>3</v>
      </c>
      <c r="E1716" s="1">
        <v>3</v>
      </c>
      <c r="F1716" s="1">
        <v>3</v>
      </c>
      <c r="G1716" s="1">
        <v>0</v>
      </c>
      <c r="H1716" s="2">
        <v>1.2556957258520101</v>
      </c>
      <c r="I1716" s="2">
        <v>1.1436620828243822</v>
      </c>
      <c r="J1716" s="3">
        <v>10548</v>
      </c>
      <c r="K1716">
        <v>1.8486916951080772</v>
      </c>
      <c r="L1716">
        <v>1.9529768676526356</v>
      </c>
      <c r="M1716">
        <v>2.8</v>
      </c>
      <c r="O1716" s="7"/>
    </row>
    <row r="1717" spans="1:15" x14ac:dyDescent="0.25">
      <c r="A1717" t="s">
        <v>354</v>
      </c>
      <c r="B1717" s="1" t="s">
        <v>335</v>
      </c>
      <c r="C1717" s="1">
        <v>2017</v>
      </c>
      <c r="D1717" s="1">
        <v>3</v>
      </c>
      <c r="E1717" s="1">
        <v>3</v>
      </c>
      <c r="F1717" s="1">
        <v>3</v>
      </c>
      <c r="G1717" s="1">
        <v>0</v>
      </c>
      <c r="H1717" s="12">
        <v>0.94744744744744702</v>
      </c>
      <c r="I1717" s="12">
        <v>0.96473341796255141</v>
      </c>
      <c r="J1717" s="3">
        <v>10569</v>
      </c>
      <c r="K1717">
        <v>1.8486916951080772</v>
      </c>
      <c r="L1717">
        <v>1.9529768676526356</v>
      </c>
      <c r="M1717">
        <v>2.8</v>
      </c>
    </row>
    <row r="1718" spans="1:15" x14ac:dyDescent="0.25">
      <c r="A1718" s="8" t="s">
        <v>354</v>
      </c>
      <c r="B1718" s="1" t="s">
        <v>335</v>
      </c>
      <c r="C1718" s="1">
        <v>2018</v>
      </c>
      <c r="D1718" s="1">
        <v>3</v>
      </c>
      <c r="E1718" s="1">
        <v>3</v>
      </c>
      <c r="F1718" s="1">
        <v>3</v>
      </c>
      <c r="G1718" s="1">
        <v>0</v>
      </c>
      <c r="H1718" s="12">
        <v>1.1019319227230899</v>
      </c>
      <c r="I1718" s="12">
        <v>0.96589021516591345</v>
      </c>
      <c r="J1718" s="3">
        <v>10547</v>
      </c>
      <c r="K1718">
        <v>1.8486916951080772</v>
      </c>
      <c r="L1718">
        <v>1.9529768676526356</v>
      </c>
      <c r="M1718">
        <v>2.8</v>
      </c>
    </row>
    <row r="1719" spans="1:15" x14ac:dyDescent="0.25">
      <c r="A1719" s="8" t="s">
        <v>355</v>
      </c>
      <c r="B1719" s="1" t="s">
        <v>335</v>
      </c>
      <c r="C1719" s="1">
        <v>2014</v>
      </c>
      <c r="D1719" s="1">
        <v>1</v>
      </c>
      <c r="E1719" s="1">
        <v>1</v>
      </c>
      <c r="F1719" s="1">
        <v>1</v>
      </c>
      <c r="G1719" s="1">
        <v>0</v>
      </c>
      <c r="J1719" s="3">
        <v>143694</v>
      </c>
      <c r="K1719">
        <v>0.18172138420585623</v>
      </c>
      <c r="L1719">
        <v>31.49955634427684</v>
      </c>
      <c r="M1719">
        <v>3713.9</v>
      </c>
    </row>
    <row r="1720" spans="1:15" x14ac:dyDescent="0.25">
      <c r="A1720" s="8" t="s">
        <v>355</v>
      </c>
      <c r="B1720" s="1" t="s">
        <v>335</v>
      </c>
      <c r="C1720" s="1">
        <v>2015</v>
      </c>
      <c r="D1720" s="1">
        <v>1</v>
      </c>
      <c r="E1720" s="1">
        <v>1</v>
      </c>
      <c r="F1720" s="1">
        <v>1</v>
      </c>
      <c r="G1720" s="1">
        <v>0</v>
      </c>
      <c r="H1720" s="2">
        <v>0.782619634680219</v>
      </c>
      <c r="I1720" s="2">
        <v>1.1027813896486274</v>
      </c>
      <c r="J1720" s="3">
        <v>145924</v>
      </c>
      <c r="K1720">
        <v>0.18172138420585623</v>
      </c>
      <c r="L1720">
        <v>31.49955634427684</v>
      </c>
      <c r="M1720">
        <v>3771.6</v>
      </c>
    </row>
    <row r="1721" spans="1:15" x14ac:dyDescent="0.25">
      <c r="A1721" t="s">
        <v>355</v>
      </c>
      <c r="B1721" s="1" t="s">
        <v>335</v>
      </c>
      <c r="C1721" s="1">
        <v>2016</v>
      </c>
      <c r="D1721" s="1">
        <v>1</v>
      </c>
      <c r="E1721" s="1">
        <v>1</v>
      </c>
      <c r="F1721" s="1">
        <v>1</v>
      </c>
      <c r="G1721" s="1">
        <v>0</v>
      </c>
      <c r="H1721" s="2">
        <v>0.69788393272451699</v>
      </c>
      <c r="I1721" s="2">
        <v>1.1932627978625281</v>
      </c>
      <c r="J1721" s="3">
        <v>140875</v>
      </c>
      <c r="K1721">
        <v>0.18172138420585623</v>
      </c>
      <c r="L1721">
        <v>31.49955634427684</v>
      </c>
      <c r="M1721">
        <v>3840.3</v>
      </c>
      <c r="O1721" s="7"/>
    </row>
    <row r="1722" spans="1:15" x14ac:dyDescent="0.25">
      <c r="A1722" t="s">
        <v>355</v>
      </c>
      <c r="B1722" s="1" t="s">
        <v>335</v>
      </c>
      <c r="C1722" s="1">
        <v>2017</v>
      </c>
      <c r="D1722" s="1">
        <v>1</v>
      </c>
      <c r="E1722" s="1">
        <v>1</v>
      </c>
      <c r="F1722" s="1">
        <v>1</v>
      </c>
      <c r="G1722" s="1">
        <v>0</v>
      </c>
      <c r="H1722" s="12">
        <v>0.69342465753424698</v>
      </c>
      <c r="I1722" s="12">
        <v>1.0832332798969728</v>
      </c>
      <c r="J1722" s="3">
        <v>151457</v>
      </c>
      <c r="K1722">
        <v>0.18172138420585623</v>
      </c>
      <c r="L1722">
        <v>31.49955634427684</v>
      </c>
      <c r="M1722">
        <v>3914.6</v>
      </c>
    </row>
    <row r="1723" spans="1:15" x14ac:dyDescent="0.25">
      <c r="A1723" s="8" t="s">
        <v>355</v>
      </c>
      <c r="B1723" s="1" t="s">
        <v>335</v>
      </c>
      <c r="C1723" s="1">
        <v>2018</v>
      </c>
      <c r="D1723" s="1">
        <v>1</v>
      </c>
      <c r="E1723" s="1">
        <v>1</v>
      </c>
      <c r="F1723" s="1">
        <v>1</v>
      </c>
      <c r="G1723" s="1">
        <v>0</v>
      </c>
      <c r="H1723" s="12">
        <v>0.63762850053172604</v>
      </c>
      <c r="I1723" s="12">
        <v>1.0812031924603045</v>
      </c>
      <c r="J1723" s="3">
        <v>153858</v>
      </c>
      <c r="K1723">
        <v>0.18172138420585623</v>
      </c>
      <c r="L1723">
        <v>31.49955634427684</v>
      </c>
      <c r="M1723">
        <v>3976.6</v>
      </c>
    </row>
    <row r="1724" spans="1:15" x14ac:dyDescent="0.25">
      <c r="A1724" s="8" t="s">
        <v>356</v>
      </c>
      <c r="B1724" s="1" t="s">
        <v>335</v>
      </c>
      <c r="C1724" s="1">
        <v>2014</v>
      </c>
      <c r="D1724" s="1">
        <v>3</v>
      </c>
      <c r="E1724" s="1">
        <v>3</v>
      </c>
      <c r="F1724" s="1">
        <v>3</v>
      </c>
      <c r="G1724" s="1">
        <v>0</v>
      </c>
      <c r="J1724" s="3">
        <v>19755</v>
      </c>
      <c r="K1724">
        <v>2.4442626303947637</v>
      </c>
      <c r="L1724">
        <v>2.2499488647985273</v>
      </c>
      <c r="M1724">
        <v>3.2</v>
      </c>
    </row>
    <row r="1725" spans="1:15" x14ac:dyDescent="0.25">
      <c r="A1725" s="8" t="s">
        <v>356</v>
      </c>
      <c r="B1725" s="1" t="s">
        <v>335</v>
      </c>
      <c r="C1725" s="1">
        <v>2015</v>
      </c>
      <c r="D1725" s="1">
        <v>3</v>
      </c>
      <c r="E1725" s="1">
        <v>3</v>
      </c>
      <c r="F1725" s="1">
        <v>3</v>
      </c>
      <c r="G1725" s="1">
        <v>0</v>
      </c>
      <c r="H1725" s="2">
        <v>0.72312240663900396</v>
      </c>
      <c r="I1725" s="2">
        <v>0.86601754385964891</v>
      </c>
      <c r="J1725" s="3">
        <v>19722</v>
      </c>
      <c r="K1725">
        <v>2.4442626303947637</v>
      </c>
      <c r="L1725">
        <v>2.2499488647985273</v>
      </c>
      <c r="M1725">
        <v>3.2</v>
      </c>
    </row>
    <row r="1726" spans="1:15" x14ac:dyDescent="0.25">
      <c r="A1726" t="s">
        <v>356</v>
      </c>
      <c r="B1726" s="1" t="s">
        <v>335</v>
      </c>
      <c r="C1726" s="1">
        <v>2016</v>
      </c>
      <c r="D1726" s="1">
        <v>3</v>
      </c>
      <c r="E1726" s="1">
        <v>3</v>
      </c>
      <c r="F1726" s="1">
        <v>3</v>
      </c>
      <c r="G1726" s="1">
        <v>0</v>
      </c>
      <c r="H1726" s="2">
        <v>0.83629120903975196</v>
      </c>
      <c r="I1726" s="2">
        <v>0.89891483428432006</v>
      </c>
      <c r="J1726" s="3">
        <v>19556</v>
      </c>
      <c r="K1726">
        <v>2.4442626303947637</v>
      </c>
      <c r="L1726">
        <v>2.2499488647985273</v>
      </c>
      <c r="M1726">
        <v>3.2</v>
      </c>
      <c r="O1726" s="7"/>
    </row>
    <row r="1727" spans="1:15" x14ac:dyDescent="0.25">
      <c r="A1727" t="s">
        <v>356</v>
      </c>
      <c r="B1727" s="1" t="s">
        <v>335</v>
      </c>
      <c r="C1727" s="1">
        <v>2017</v>
      </c>
      <c r="D1727" s="1">
        <v>3</v>
      </c>
      <c r="E1727" s="1">
        <v>3</v>
      </c>
      <c r="F1727" s="1">
        <v>3</v>
      </c>
      <c r="G1727" s="1">
        <v>0</v>
      </c>
      <c r="H1727" s="12">
        <v>0.89352196574832499</v>
      </c>
      <c r="I1727" s="12">
        <v>0.92228870612038516</v>
      </c>
      <c r="J1727" s="3">
        <v>19692</v>
      </c>
      <c r="K1727">
        <v>2.4442626303947637</v>
      </c>
      <c r="L1727">
        <v>2.2499488647985273</v>
      </c>
      <c r="M1727">
        <v>3.2</v>
      </c>
    </row>
    <row r="1728" spans="1:15" x14ac:dyDescent="0.25">
      <c r="A1728" s="8" t="s">
        <v>356</v>
      </c>
      <c r="B1728" s="1" t="s">
        <v>335</v>
      </c>
      <c r="C1728" s="1">
        <v>2018</v>
      </c>
      <c r="D1728" s="1">
        <v>3</v>
      </c>
      <c r="E1728" s="1">
        <v>3</v>
      </c>
      <c r="F1728" s="1">
        <v>3</v>
      </c>
      <c r="G1728" s="1">
        <v>0</v>
      </c>
      <c r="H1728" s="12">
        <v>0.76166664233327996</v>
      </c>
      <c r="I1728" s="12">
        <v>0.90783675547074827</v>
      </c>
      <c r="J1728" s="3">
        <v>19665</v>
      </c>
      <c r="K1728">
        <v>2.4442626303947637</v>
      </c>
      <c r="L1728">
        <v>2.2499488647985273</v>
      </c>
      <c r="M1728">
        <v>3.2</v>
      </c>
    </row>
    <row r="1729" spans="1:15" x14ac:dyDescent="0.25">
      <c r="A1729" s="8" t="s">
        <v>357</v>
      </c>
      <c r="B1729" s="1" t="s">
        <v>335</v>
      </c>
      <c r="C1729" s="1">
        <v>2014</v>
      </c>
      <c r="D1729" s="1">
        <v>2</v>
      </c>
      <c r="E1729" s="1">
        <v>2</v>
      </c>
      <c r="F1729" s="1">
        <v>2</v>
      </c>
      <c r="G1729" s="1">
        <v>0</v>
      </c>
      <c r="J1729" s="3">
        <v>20899</v>
      </c>
      <c r="K1729">
        <v>0.92221146308848612</v>
      </c>
      <c r="L1729">
        <v>2.9695209111449254</v>
      </c>
      <c r="M1729">
        <v>7.7</v>
      </c>
    </row>
    <row r="1730" spans="1:15" x14ac:dyDescent="0.25">
      <c r="A1730" s="8" t="s">
        <v>357</v>
      </c>
      <c r="B1730" s="1" t="s">
        <v>335</v>
      </c>
      <c r="C1730" s="1">
        <v>2015</v>
      </c>
      <c r="D1730" s="1">
        <v>2</v>
      </c>
      <c r="E1730" s="1">
        <v>2</v>
      </c>
      <c r="F1730" s="1">
        <v>2</v>
      </c>
      <c r="G1730" s="1">
        <v>0</v>
      </c>
      <c r="H1730" s="2">
        <v>0.737642585551331</v>
      </c>
      <c r="I1730" s="2">
        <v>1.1250920915580618</v>
      </c>
      <c r="J1730" s="3">
        <v>21388</v>
      </c>
      <c r="K1730">
        <v>0.92221146308848612</v>
      </c>
      <c r="L1730">
        <v>2.9695209111449254</v>
      </c>
      <c r="M1730">
        <v>7.9</v>
      </c>
    </row>
    <row r="1731" spans="1:15" x14ac:dyDescent="0.25">
      <c r="A1731" t="s">
        <v>357</v>
      </c>
      <c r="B1731" s="1" t="s">
        <v>335</v>
      </c>
      <c r="C1731" s="1">
        <v>2016</v>
      </c>
      <c r="D1731" s="1">
        <v>2</v>
      </c>
      <c r="E1731" s="1">
        <v>2</v>
      </c>
      <c r="F1731" s="1">
        <v>2</v>
      </c>
      <c r="G1731" s="1">
        <v>0</v>
      </c>
      <c r="H1731" s="2">
        <v>0.71397109428768102</v>
      </c>
      <c r="I1731" s="2">
        <v>1.0735477178423236</v>
      </c>
      <c r="J1731" s="3">
        <v>21687</v>
      </c>
      <c r="K1731">
        <v>0.92221146308848612</v>
      </c>
      <c r="L1731">
        <v>2.9695209111449254</v>
      </c>
      <c r="M1731">
        <v>8.1</v>
      </c>
      <c r="O1731" s="7"/>
    </row>
    <row r="1732" spans="1:15" x14ac:dyDescent="0.25">
      <c r="A1732" t="s">
        <v>357</v>
      </c>
      <c r="B1732" s="1" t="s">
        <v>335</v>
      </c>
      <c r="C1732" s="1">
        <v>2017</v>
      </c>
      <c r="D1732" s="1">
        <v>2</v>
      </c>
      <c r="E1732" s="1">
        <v>2</v>
      </c>
      <c r="F1732" s="1">
        <v>2</v>
      </c>
      <c r="G1732" s="1">
        <v>0</v>
      </c>
      <c r="H1732" s="12">
        <v>0.76707696469633402</v>
      </c>
      <c r="I1732" s="12">
        <v>0.99392428727216076</v>
      </c>
      <c r="J1732" s="3">
        <v>22568</v>
      </c>
      <c r="K1732">
        <v>0.92221146308848612</v>
      </c>
      <c r="L1732">
        <v>2.9695209111449254</v>
      </c>
      <c r="M1732">
        <v>8.3000000000000007</v>
      </c>
    </row>
    <row r="1733" spans="1:15" x14ac:dyDescent="0.25">
      <c r="A1733" s="8" t="s">
        <v>357</v>
      </c>
      <c r="B1733" s="1" t="s">
        <v>335</v>
      </c>
      <c r="C1733" s="1">
        <v>2018</v>
      </c>
      <c r="D1733" s="1">
        <v>2</v>
      </c>
      <c r="E1733" s="1">
        <v>2</v>
      </c>
      <c r="F1733" s="1">
        <v>2</v>
      </c>
      <c r="G1733" s="1">
        <v>0</v>
      </c>
      <c r="H1733" s="12">
        <v>0.64030007896815</v>
      </c>
      <c r="I1733" s="12">
        <v>1.0283704633406547</v>
      </c>
      <c r="J1733" s="3">
        <v>23120</v>
      </c>
      <c r="K1733">
        <v>0.92221146308848612</v>
      </c>
      <c r="L1733">
        <v>2.9695209111449254</v>
      </c>
      <c r="M1733">
        <v>8.6</v>
      </c>
    </row>
    <row r="1734" spans="1:15" x14ac:dyDescent="0.25">
      <c r="A1734" s="8" t="s">
        <v>358</v>
      </c>
      <c r="B1734" s="1" t="s">
        <v>335</v>
      </c>
      <c r="C1734" s="1">
        <v>2014</v>
      </c>
      <c r="D1734" s="1">
        <v>2</v>
      </c>
      <c r="E1734" s="1">
        <v>2</v>
      </c>
      <c r="F1734" s="1">
        <v>2</v>
      </c>
      <c r="G1734" s="1">
        <v>0</v>
      </c>
      <c r="J1734" s="3">
        <v>107955</v>
      </c>
      <c r="K1734">
        <v>1.6681903348147613</v>
      </c>
      <c r="L1734">
        <v>4.6117361670543717</v>
      </c>
      <c r="M1734">
        <v>36</v>
      </c>
    </row>
    <row r="1735" spans="1:15" x14ac:dyDescent="0.25">
      <c r="A1735" s="8" t="s">
        <v>358</v>
      </c>
      <c r="B1735" s="1" t="s">
        <v>335</v>
      </c>
      <c r="C1735" s="1">
        <v>2015</v>
      </c>
      <c r="D1735" s="1">
        <v>2</v>
      </c>
      <c r="E1735" s="1">
        <v>2</v>
      </c>
      <c r="F1735" s="1">
        <v>2</v>
      </c>
      <c r="G1735" s="1">
        <v>0</v>
      </c>
      <c r="H1735" s="2">
        <v>0.64861072130227304</v>
      </c>
      <c r="I1735" s="2">
        <v>0.94032629692554748</v>
      </c>
      <c r="J1735" s="3">
        <v>109908</v>
      </c>
      <c r="K1735">
        <v>1.6681903348147613</v>
      </c>
      <c r="L1735">
        <v>4.6117361670543717</v>
      </c>
      <c r="M1735">
        <v>36.6</v>
      </c>
    </row>
    <row r="1736" spans="1:15" x14ac:dyDescent="0.25">
      <c r="A1736" t="s">
        <v>358</v>
      </c>
      <c r="B1736" s="1" t="s">
        <v>335</v>
      </c>
      <c r="C1736" s="1">
        <v>2016</v>
      </c>
      <c r="D1736" s="1">
        <v>2</v>
      </c>
      <c r="E1736" s="1">
        <v>2</v>
      </c>
      <c r="F1736" s="1">
        <v>2</v>
      </c>
      <c r="G1736" s="1">
        <v>0</v>
      </c>
      <c r="H1736" s="2">
        <v>0.94373999359590099</v>
      </c>
      <c r="I1736" s="2">
        <v>0.88934742134784817</v>
      </c>
      <c r="J1736" s="3">
        <v>110479</v>
      </c>
      <c r="K1736">
        <v>1.6681903348147613</v>
      </c>
      <c r="L1736">
        <v>4.6117361670543717</v>
      </c>
      <c r="M1736">
        <v>37.4</v>
      </c>
      <c r="O1736" s="7"/>
    </row>
    <row r="1737" spans="1:15" x14ac:dyDescent="0.25">
      <c r="A1737" t="s">
        <v>358</v>
      </c>
      <c r="B1737" s="1" t="s">
        <v>335</v>
      </c>
      <c r="C1737" s="1">
        <v>2017</v>
      </c>
      <c r="D1737" s="1">
        <v>2</v>
      </c>
      <c r="E1737" s="1">
        <v>2</v>
      </c>
      <c r="F1737" s="1">
        <v>2</v>
      </c>
      <c r="G1737" s="1">
        <v>0</v>
      </c>
      <c r="H1737" s="12">
        <v>1</v>
      </c>
      <c r="I1737" s="12">
        <v>1.0373534658905015</v>
      </c>
      <c r="J1737" s="3">
        <v>114091</v>
      </c>
      <c r="K1737">
        <v>1.6681903348147613</v>
      </c>
      <c r="L1737">
        <v>4.6117361670543717</v>
      </c>
      <c r="M1737">
        <v>38</v>
      </c>
    </row>
    <row r="1738" spans="1:15" x14ac:dyDescent="0.25">
      <c r="A1738" s="8" t="s">
        <v>358</v>
      </c>
      <c r="B1738" s="1" t="s">
        <v>335</v>
      </c>
      <c r="C1738" s="1">
        <v>2018</v>
      </c>
      <c r="D1738" s="1">
        <v>2</v>
      </c>
      <c r="E1738" s="1">
        <v>2</v>
      </c>
      <c r="F1738" s="1">
        <v>2</v>
      </c>
      <c r="G1738" s="1">
        <v>0</v>
      </c>
      <c r="H1738" s="12">
        <v>1</v>
      </c>
      <c r="I1738" s="12">
        <v>1.0256230870135548</v>
      </c>
      <c r="J1738" s="3">
        <v>116045</v>
      </c>
      <c r="K1738">
        <v>1.6681903348147613</v>
      </c>
      <c r="L1738">
        <v>4.6117361670543717</v>
      </c>
      <c r="M1738">
        <v>38.700000000000003</v>
      </c>
    </row>
    <row r="1739" spans="1:15" x14ac:dyDescent="0.25">
      <c r="A1739" s="8" t="s">
        <v>359</v>
      </c>
      <c r="B1739" s="1" t="s">
        <v>335</v>
      </c>
      <c r="C1739" s="1">
        <v>2014</v>
      </c>
      <c r="D1739" s="1">
        <v>1</v>
      </c>
      <c r="E1739" s="1">
        <v>1</v>
      </c>
      <c r="F1739" s="1">
        <v>1</v>
      </c>
      <c r="G1739" s="1">
        <v>0</v>
      </c>
      <c r="J1739" s="3">
        <v>152135</v>
      </c>
      <c r="K1739">
        <v>0.33606923947070738</v>
      </c>
      <c r="L1739">
        <v>64.464788361876202</v>
      </c>
      <c r="M1739">
        <v>1174.4000000000001</v>
      </c>
    </row>
    <row r="1740" spans="1:15" x14ac:dyDescent="0.25">
      <c r="A1740" s="8" t="s">
        <v>359</v>
      </c>
      <c r="B1740" s="1" t="s">
        <v>335</v>
      </c>
      <c r="C1740" s="1">
        <v>2015</v>
      </c>
      <c r="D1740" s="1">
        <v>1</v>
      </c>
      <c r="E1740" s="1">
        <v>1</v>
      </c>
      <c r="F1740" s="1">
        <v>1</v>
      </c>
      <c r="G1740" s="1">
        <v>0</v>
      </c>
      <c r="H1740" s="2">
        <v>0.62613172990531496</v>
      </c>
      <c r="I1740" s="2">
        <v>1.044354188627767</v>
      </c>
      <c r="J1740" s="3">
        <v>156061</v>
      </c>
      <c r="K1740">
        <v>0.33606923947070738</v>
      </c>
      <c r="L1740">
        <v>64.464788361876202</v>
      </c>
      <c r="M1740">
        <v>1204.7</v>
      </c>
    </row>
    <row r="1741" spans="1:15" x14ac:dyDescent="0.25">
      <c r="A1741" t="s">
        <v>359</v>
      </c>
      <c r="B1741" s="1" t="s">
        <v>335</v>
      </c>
      <c r="C1741" s="1">
        <v>2016</v>
      </c>
      <c r="D1741" s="1">
        <v>1</v>
      </c>
      <c r="E1741" s="1">
        <v>1</v>
      </c>
      <c r="F1741" s="1">
        <v>1</v>
      </c>
      <c r="G1741" s="1">
        <v>0</v>
      </c>
      <c r="H1741" s="2">
        <v>0.68326714607706296</v>
      </c>
      <c r="I1741" s="2">
        <v>1.1470669740511663</v>
      </c>
      <c r="J1741" s="3">
        <v>152052</v>
      </c>
      <c r="K1741">
        <v>0.33606923947070738</v>
      </c>
      <c r="L1741">
        <v>64.464788361876202</v>
      </c>
      <c r="M1741">
        <v>1236.8</v>
      </c>
      <c r="O1741" s="7"/>
    </row>
    <row r="1742" spans="1:15" x14ac:dyDescent="0.25">
      <c r="A1742" t="s">
        <v>359</v>
      </c>
      <c r="B1742" s="1" t="s">
        <v>335</v>
      </c>
      <c r="C1742" s="1">
        <v>2017</v>
      </c>
      <c r="D1742" s="1">
        <v>1</v>
      </c>
      <c r="E1742" s="1">
        <v>1</v>
      </c>
      <c r="F1742" s="1">
        <v>1</v>
      </c>
      <c r="G1742" s="1">
        <v>0</v>
      </c>
      <c r="H1742" s="12">
        <v>0.63324710942126095</v>
      </c>
      <c r="I1742" s="12">
        <v>1.081186880385435</v>
      </c>
      <c r="J1742" s="3">
        <v>163518</v>
      </c>
      <c r="K1742">
        <v>0.33606923947070738</v>
      </c>
      <c r="L1742">
        <v>64.464788361876202</v>
      </c>
      <c r="M1742">
        <v>1262.2</v>
      </c>
    </row>
    <row r="1743" spans="1:15" x14ac:dyDescent="0.25">
      <c r="A1743" s="8" t="s">
        <v>359</v>
      </c>
      <c r="B1743" s="1" t="s">
        <v>335</v>
      </c>
      <c r="C1743" s="1">
        <v>2018</v>
      </c>
      <c r="D1743" s="1">
        <v>1</v>
      </c>
      <c r="E1743" s="1">
        <v>1</v>
      </c>
      <c r="F1743" s="1">
        <v>1</v>
      </c>
      <c r="G1743" s="1">
        <v>0</v>
      </c>
      <c r="H1743" s="12">
        <v>0.70063221631889805</v>
      </c>
      <c r="I1743" s="12">
        <v>1.0729310917060553</v>
      </c>
      <c r="J1743" s="3">
        <v>166094</v>
      </c>
      <c r="K1743">
        <v>0.33606923947070738</v>
      </c>
      <c r="L1743">
        <v>64.464788361876202</v>
      </c>
      <c r="M1743">
        <v>1282.0999999999999</v>
      </c>
    </row>
    <row r="1744" spans="1:15" x14ac:dyDescent="0.25">
      <c r="A1744" s="8" t="s">
        <v>360</v>
      </c>
      <c r="B1744" s="1" t="s">
        <v>335</v>
      </c>
      <c r="C1744" s="1">
        <v>2014</v>
      </c>
      <c r="D1744" s="1">
        <v>1</v>
      </c>
      <c r="E1744" s="1">
        <v>2</v>
      </c>
      <c r="F1744" s="1">
        <v>1.5</v>
      </c>
      <c r="G1744" s="1">
        <v>1</v>
      </c>
      <c r="J1744" s="3">
        <v>227744</v>
      </c>
      <c r="K1744">
        <v>1.0290199035240291</v>
      </c>
      <c r="L1744">
        <v>10.620496431417237</v>
      </c>
      <c r="M1744">
        <v>182.5</v>
      </c>
    </row>
    <row r="1745" spans="1:15" x14ac:dyDescent="0.25">
      <c r="A1745" s="8" t="s">
        <v>360</v>
      </c>
      <c r="B1745" s="1" t="s">
        <v>335</v>
      </c>
      <c r="C1745" s="1">
        <v>2015</v>
      </c>
      <c r="D1745" s="1">
        <v>1</v>
      </c>
      <c r="E1745" s="1">
        <v>2</v>
      </c>
      <c r="F1745" s="1">
        <v>1.5</v>
      </c>
      <c r="G1745" s="1">
        <v>1</v>
      </c>
      <c r="H1745" s="2">
        <v>0.48494556071450301</v>
      </c>
      <c r="I1745" s="2">
        <v>1.0608832581287553</v>
      </c>
      <c r="J1745" s="3">
        <v>232926</v>
      </c>
      <c r="K1745">
        <v>1.0290199035240291</v>
      </c>
      <c r="L1745">
        <v>10.620496431417237</v>
      </c>
      <c r="M1745">
        <v>186.6</v>
      </c>
    </row>
    <row r="1746" spans="1:15" x14ac:dyDescent="0.25">
      <c r="A1746" t="s">
        <v>360</v>
      </c>
      <c r="B1746" s="1" t="s">
        <v>335</v>
      </c>
      <c r="C1746" s="1">
        <v>2016</v>
      </c>
      <c r="D1746" s="1">
        <v>1</v>
      </c>
      <c r="E1746" s="1">
        <v>2</v>
      </c>
      <c r="F1746" s="1">
        <v>1.5</v>
      </c>
      <c r="G1746" s="1">
        <v>1</v>
      </c>
      <c r="H1746" s="2">
        <v>0.52033188954072795</v>
      </c>
      <c r="I1746" s="2">
        <v>0.96585056651612389</v>
      </c>
      <c r="J1746" s="3">
        <v>233426</v>
      </c>
      <c r="K1746">
        <v>1.0290199035240291</v>
      </c>
      <c r="L1746">
        <v>10.620496431417237</v>
      </c>
      <c r="M1746">
        <v>191.9</v>
      </c>
      <c r="O1746" s="7"/>
    </row>
    <row r="1747" spans="1:15" x14ac:dyDescent="0.25">
      <c r="A1747" t="s">
        <v>360</v>
      </c>
      <c r="B1747" s="1" t="s">
        <v>335</v>
      </c>
      <c r="C1747" s="1">
        <v>2017</v>
      </c>
      <c r="D1747" s="1">
        <v>1</v>
      </c>
      <c r="E1747" s="1">
        <v>2</v>
      </c>
      <c r="F1747" s="1">
        <v>1.5</v>
      </c>
      <c r="G1747" s="1">
        <v>1</v>
      </c>
      <c r="H1747" s="12">
        <v>0.53606721196195295</v>
      </c>
      <c r="I1747" s="12">
        <v>1.0134098542488426</v>
      </c>
      <c r="J1747" s="3">
        <v>245728</v>
      </c>
      <c r="K1747">
        <v>1.0290199035240291</v>
      </c>
      <c r="L1747">
        <v>10.620496431417237</v>
      </c>
      <c r="M1747">
        <v>196.9</v>
      </c>
    </row>
    <row r="1748" spans="1:15" x14ac:dyDescent="0.25">
      <c r="A1748" s="8" t="s">
        <v>360</v>
      </c>
      <c r="B1748" s="1" t="s">
        <v>335</v>
      </c>
      <c r="C1748" s="1">
        <v>2018</v>
      </c>
      <c r="D1748" s="1">
        <v>1</v>
      </c>
      <c r="E1748" s="1">
        <v>2</v>
      </c>
      <c r="F1748" s="1">
        <v>1.5</v>
      </c>
      <c r="G1748" s="1">
        <v>1</v>
      </c>
      <c r="H1748" s="12">
        <v>0.50861395929839204</v>
      </c>
      <c r="I1748" s="12">
        <v>1.0098330124529533</v>
      </c>
      <c r="J1748" s="3">
        <v>252217</v>
      </c>
      <c r="K1748">
        <v>1.0290199035240291</v>
      </c>
      <c r="L1748">
        <v>10.620496431417237</v>
      </c>
      <c r="M1748">
        <v>202.1</v>
      </c>
    </row>
    <row r="1749" spans="1:15" x14ac:dyDescent="0.25">
      <c r="A1749" s="8" t="s">
        <v>361</v>
      </c>
      <c r="B1749" s="1" t="s">
        <v>335</v>
      </c>
      <c r="C1749" s="1">
        <v>2014</v>
      </c>
      <c r="D1749" s="1">
        <v>2</v>
      </c>
      <c r="E1749" s="1">
        <v>2</v>
      </c>
      <c r="F1749" s="1">
        <v>2</v>
      </c>
      <c r="G1749" s="1">
        <v>0</v>
      </c>
      <c r="J1749" s="3">
        <v>63919</v>
      </c>
      <c r="K1749">
        <v>3.4226726609126081</v>
      </c>
      <c r="L1749">
        <v>14.730807186829367</v>
      </c>
      <c r="M1749">
        <v>26.4</v>
      </c>
    </row>
    <row r="1750" spans="1:15" x14ac:dyDescent="0.25">
      <c r="A1750" s="8" t="s">
        <v>361</v>
      </c>
      <c r="B1750" s="1" t="s">
        <v>335</v>
      </c>
      <c r="C1750" s="1">
        <v>2015</v>
      </c>
      <c r="D1750" s="1">
        <v>2</v>
      </c>
      <c r="E1750" s="1">
        <v>2</v>
      </c>
      <c r="F1750" s="1">
        <v>2</v>
      </c>
      <c r="G1750" s="1">
        <v>0</v>
      </c>
      <c r="H1750" s="2">
        <v>0.73688841957057405</v>
      </c>
      <c r="I1750" s="2">
        <v>0.94179015164637891</v>
      </c>
      <c r="J1750" s="3">
        <v>64489</v>
      </c>
      <c r="K1750">
        <v>3.4226726609126081</v>
      </c>
      <c r="L1750">
        <v>14.730807186829367</v>
      </c>
      <c r="M1750">
        <v>26.6</v>
      </c>
    </row>
    <row r="1751" spans="1:15" x14ac:dyDescent="0.25">
      <c r="A1751" t="s">
        <v>361</v>
      </c>
      <c r="B1751" s="1" t="s">
        <v>335</v>
      </c>
      <c r="C1751" s="1">
        <v>2016</v>
      </c>
      <c r="D1751" s="1">
        <v>2</v>
      </c>
      <c r="E1751" s="1">
        <v>2</v>
      </c>
      <c r="F1751" s="1">
        <v>2</v>
      </c>
      <c r="G1751" s="1">
        <v>0</v>
      </c>
      <c r="H1751" s="2">
        <v>1.0760139672307301</v>
      </c>
      <c r="I1751" s="2">
        <v>1.159421588302753</v>
      </c>
      <c r="J1751" s="3">
        <v>63839</v>
      </c>
      <c r="K1751">
        <v>3.4226726609126081</v>
      </c>
      <c r="L1751">
        <v>14.730807186829367</v>
      </c>
      <c r="M1751">
        <v>26.9</v>
      </c>
      <c r="O1751" s="7"/>
    </row>
    <row r="1752" spans="1:15" x14ac:dyDescent="0.25">
      <c r="A1752" t="s">
        <v>361</v>
      </c>
      <c r="B1752" s="1" t="s">
        <v>335</v>
      </c>
      <c r="C1752" s="1">
        <v>2017</v>
      </c>
      <c r="D1752" s="1">
        <v>2</v>
      </c>
      <c r="E1752" s="1">
        <v>2</v>
      </c>
      <c r="F1752" s="1">
        <v>2</v>
      </c>
      <c r="G1752" s="1">
        <v>0</v>
      </c>
      <c r="H1752" s="12">
        <v>0.70769890628350896</v>
      </c>
      <c r="I1752" s="12">
        <v>1.0061707988980717</v>
      </c>
      <c r="J1752" s="3">
        <v>65554</v>
      </c>
      <c r="K1752">
        <v>3.4226726609126081</v>
      </c>
      <c r="L1752">
        <v>14.730807186829367</v>
      </c>
      <c r="M1752">
        <v>27.1</v>
      </c>
    </row>
    <row r="1753" spans="1:15" x14ac:dyDescent="0.25">
      <c r="A1753" s="8" t="s">
        <v>361</v>
      </c>
      <c r="B1753" s="1" t="s">
        <v>335</v>
      </c>
      <c r="C1753" s="1">
        <v>2018</v>
      </c>
      <c r="D1753" s="1">
        <v>2</v>
      </c>
      <c r="E1753" s="1">
        <v>2</v>
      </c>
      <c r="F1753" s="1">
        <v>2</v>
      </c>
      <c r="G1753" s="1">
        <v>0</v>
      </c>
      <c r="H1753" s="12">
        <v>0.80161572416090598</v>
      </c>
      <c r="I1753" s="12">
        <v>1.0162996854446669</v>
      </c>
      <c r="J1753" s="3">
        <v>66007</v>
      </c>
      <c r="K1753">
        <v>3.4226726609126081</v>
      </c>
      <c r="L1753">
        <v>14.730807186829367</v>
      </c>
      <c r="M1753">
        <v>27.3</v>
      </c>
    </row>
    <row r="1754" spans="1:15" x14ac:dyDescent="0.25">
      <c r="A1754" s="8" t="s">
        <v>362</v>
      </c>
      <c r="B1754" s="1" t="s">
        <v>335</v>
      </c>
      <c r="C1754" s="1">
        <v>2014</v>
      </c>
      <c r="D1754" s="1">
        <v>2</v>
      </c>
      <c r="E1754" s="1">
        <v>2</v>
      </c>
      <c r="F1754" s="1">
        <v>2</v>
      </c>
      <c r="G1754" s="1">
        <v>0</v>
      </c>
      <c r="J1754" s="3">
        <v>15184</v>
      </c>
      <c r="K1754">
        <v>0.99823840281855547</v>
      </c>
      <c r="L1754">
        <v>4.6323481437985254</v>
      </c>
      <c r="M1754">
        <v>10.3</v>
      </c>
    </row>
    <row r="1755" spans="1:15" x14ac:dyDescent="0.25">
      <c r="A1755" s="8" t="s">
        <v>362</v>
      </c>
      <c r="B1755" s="1" t="s">
        <v>335</v>
      </c>
      <c r="C1755" s="1">
        <v>2015</v>
      </c>
      <c r="D1755" s="1">
        <v>2</v>
      </c>
      <c r="E1755" s="1">
        <v>2</v>
      </c>
      <c r="F1755" s="1">
        <v>2</v>
      </c>
      <c r="G1755" s="1">
        <v>0</v>
      </c>
      <c r="H1755" s="2">
        <v>1.0494782869796899</v>
      </c>
      <c r="I1755" s="2">
        <v>1.110369406802695</v>
      </c>
      <c r="J1755" s="3">
        <v>15334</v>
      </c>
      <c r="K1755">
        <v>0.99823840281855547</v>
      </c>
      <c r="L1755">
        <v>4.6323481437985254</v>
      </c>
      <c r="M1755">
        <v>10.4</v>
      </c>
    </row>
    <row r="1756" spans="1:15" x14ac:dyDescent="0.25">
      <c r="A1756" t="s">
        <v>362</v>
      </c>
      <c r="B1756" s="1" t="s">
        <v>335</v>
      </c>
      <c r="C1756" s="1">
        <v>2016</v>
      </c>
      <c r="D1756" s="1">
        <v>2</v>
      </c>
      <c r="E1756" s="1">
        <v>2</v>
      </c>
      <c r="F1756" s="1">
        <v>2</v>
      </c>
      <c r="G1756" s="1">
        <v>0</v>
      </c>
      <c r="H1756" s="2">
        <v>0.73995130379388696</v>
      </c>
      <c r="I1756" s="2">
        <v>1.0826982327161681</v>
      </c>
      <c r="J1756" s="3">
        <v>15327</v>
      </c>
      <c r="K1756">
        <v>0.99823840281855547</v>
      </c>
      <c r="L1756">
        <v>4.6323481437985254</v>
      </c>
      <c r="M1756">
        <v>10.5</v>
      </c>
      <c r="O1756" s="7"/>
    </row>
    <row r="1757" spans="1:15" x14ac:dyDescent="0.25">
      <c r="A1757" t="s">
        <v>362</v>
      </c>
      <c r="B1757" s="1" t="s">
        <v>335</v>
      </c>
      <c r="C1757" s="1">
        <v>2017</v>
      </c>
      <c r="D1757" s="1">
        <v>2</v>
      </c>
      <c r="E1757" s="1">
        <v>2</v>
      </c>
      <c r="F1757" s="1">
        <v>2</v>
      </c>
      <c r="G1757" s="1">
        <v>0</v>
      </c>
      <c r="H1757" s="12">
        <v>0.95061383928571397</v>
      </c>
      <c r="I1757" s="12">
        <v>0.99728020910600124</v>
      </c>
      <c r="J1757" s="3">
        <v>15629</v>
      </c>
      <c r="K1757">
        <v>0.99823840281855547</v>
      </c>
      <c r="L1757">
        <v>4.6323481437985254</v>
      </c>
      <c r="M1757">
        <v>10.6</v>
      </c>
    </row>
    <row r="1758" spans="1:15" x14ac:dyDescent="0.25">
      <c r="A1758" s="8" t="s">
        <v>362</v>
      </c>
      <c r="B1758" s="1" t="s">
        <v>335</v>
      </c>
      <c r="C1758" s="1">
        <v>2018</v>
      </c>
      <c r="D1758" s="1">
        <v>2</v>
      </c>
      <c r="E1758" s="1">
        <v>2</v>
      </c>
      <c r="F1758" s="1">
        <v>2</v>
      </c>
      <c r="G1758" s="1">
        <v>0</v>
      </c>
      <c r="H1758" s="12">
        <v>0.90479352011684999</v>
      </c>
      <c r="I1758" s="12">
        <v>1.007720688712763</v>
      </c>
      <c r="J1758" s="3">
        <v>15812</v>
      </c>
      <c r="K1758">
        <v>0.99823840281855547</v>
      </c>
      <c r="L1758">
        <v>4.6323481437985254</v>
      </c>
      <c r="M1758">
        <v>10.7</v>
      </c>
    </row>
    <row r="1759" spans="1:15" x14ac:dyDescent="0.25">
      <c r="A1759" s="8" t="s">
        <v>363</v>
      </c>
      <c r="B1759" s="1" t="s">
        <v>335</v>
      </c>
      <c r="C1759" s="1">
        <v>2014</v>
      </c>
      <c r="D1759" s="1">
        <v>3</v>
      </c>
      <c r="E1759" s="1">
        <v>4</v>
      </c>
      <c r="F1759" s="1">
        <v>3.5</v>
      </c>
      <c r="G1759" s="1">
        <v>1</v>
      </c>
      <c r="J1759" s="3">
        <v>5844</v>
      </c>
      <c r="K1759">
        <v>1.3624454148471616</v>
      </c>
      <c r="L1759">
        <v>5.3449781659388647</v>
      </c>
      <c r="M1759">
        <v>0.8</v>
      </c>
    </row>
    <row r="1760" spans="1:15" x14ac:dyDescent="0.25">
      <c r="A1760" s="8" t="s">
        <v>363</v>
      </c>
      <c r="B1760" s="1" t="s">
        <v>335</v>
      </c>
      <c r="C1760" s="1">
        <v>2015</v>
      </c>
      <c r="D1760" s="1">
        <v>3</v>
      </c>
      <c r="E1760" s="1">
        <v>4</v>
      </c>
      <c r="F1760" s="1">
        <v>3.5</v>
      </c>
      <c r="G1760" s="1">
        <v>1</v>
      </c>
      <c r="H1760" s="2">
        <v>0.50822239624119003</v>
      </c>
      <c r="I1760" s="2">
        <v>1.0628244138177914</v>
      </c>
      <c r="J1760" s="3">
        <v>5808</v>
      </c>
      <c r="K1760">
        <v>1.3624454148471616</v>
      </c>
      <c r="L1760">
        <v>5.3449781659388647</v>
      </c>
      <c r="M1760">
        <v>0.8</v>
      </c>
    </row>
    <row r="1761" spans="1:15" x14ac:dyDescent="0.25">
      <c r="A1761" t="s">
        <v>363</v>
      </c>
      <c r="B1761" s="1" t="s">
        <v>335</v>
      </c>
      <c r="C1761" s="1">
        <v>2016</v>
      </c>
      <c r="D1761" s="1">
        <v>3</v>
      </c>
      <c r="E1761" s="1">
        <v>4</v>
      </c>
      <c r="F1761" s="1">
        <v>3.5</v>
      </c>
      <c r="G1761" s="1">
        <v>1</v>
      </c>
      <c r="H1761" s="2">
        <v>0.55605974664397795</v>
      </c>
      <c r="I1761" s="2">
        <v>1.1218972147768327</v>
      </c>
      <c r="J1761" s="3">
        <v>5725</v>
      </c>
      <c r="K1761">
        <v>1.3624454148471616</v>
      </c>
      <c r="L1761">
        <v>5.3449781659388647</v>
      </c>
      <c r="M1761">
        <v>0.8</v>
      </c>
      <c r="O1761" s="7"/>
    </row>
    <row r="1762" spans="1:15" x14ac:dyDescent="0.25">
      <c r="A1762" t="s">
        <v>363</v>
      </c>
      <c r="B1762" s="1" t="s">
        <v>335</v>
      </c>
      <c r="C1762" s="1">
        <v>2017</v>
      </c>
      <c r="D1762" s="1">
        <v>3</v>
      </c>
      <c r="E1762" s="1">
        <v>4</v>
      </c>
      <c r="F1762" s="1">
        <v>3.5</v>
      </c>
      <c r="G1762" s="1">
        <v>1</v>
      </c>
      <c r="H1762" s="12">
        <v>0.72174887892376705</v>
      </c>
      <c r="I1762" s="12">
        <v>0.94273945582177887</v>
      </c>
      <c r="J1762" s="3">
        <v>5718</v>
      </c>
      <c r="K1762">
        <v>1.3624454148471616</v>
      </c>
      <c r="L1762">
        <v>5.3449781659388647</v>
      </c>
      <c r="M1762">
        <v>0.8</v>
      </c>
    </row>
    <row r="1763" spans="1:15" x14ac:dyDescent="0.25">
      <c r="A1763" s="8" t="s">
        <v>363</v>
      </c>
      <c r="B1763" s="1" t="s">
        <v>335</v>
      </c>
      <c r="C1763" s="1">
        <v>2018</v>
      </c>
      <c r="D1763" s="1">
        <v>3</v>
      </c>
      <c r="E1763" s="1">
        <v>4</v>
      </c>
      <c r="F1763" s="1">
        <v>3.5</v>
      </c>
      <c r="G1763" s="1">
        <v>1</v>
      </c>
      <c r="H1763" s="12">
        <v>0.73090507726269305</v>
      </c>
      <c r="I1763" s="12">
        <v>0.92944836397977892</v>
      </c>
      <c r="J1763" s="3">
        <v>5645</v>
      </c>
      <c r="K1763">
        <v>1.3624454148471616</v>
      </c>
      <c r="L1763">
        <v>5.3449781659388647</v>
      </c>
      <c r="M1763">
        <v>0.8</v>
      </c>
    </row>
    <row r="1764" spans="1:15" x14ac:dyDescent="0.25">
      <c r="A1764" s="8" t="s">
        <v>364</v>
      </c>
      <c r="B1764" s="1" t="s">
        <v>335</v>
      </c>
      <c r="C1764" s="1">
        <v>2014</v>
      </c>
      <c r="D1764" s="1">
        <v>1</v>
      </c>
      <c r="E1764" s="1">
        <v>1</v>
      </c>
      <c r="F1764" s="1">
        <v>1</v>
      </c>
      <c r="G1764" s="1">
        <v>0</v>
      </c>
      <c r="J1764" s="3">
        <v>90417</v>
      </c>
      <c r="K1764">
        <v>0.55307117834574271</v>
      </c>
      <c r="L1764">
        <v>29.026662311184204</v>
      </c>
      <c r="M1764">
        <v>1407.5</v>
      </c>
    </row>
    <row r="1765" spans="1:15" x14ac:dyDescent="0.25">
      <c r="A1765" s="8" t="s">
        <v>364</v>
      </c>
      <c r="B1765" s="1" t="s">
        <v>335</v>
      </c>
      <c r="C1765" s="1">
        <v>2015</v>
      </c>
      <c r="D1765" s="1">
        <v>1</v>
      </c>
      <c r="E1765" s="1">
        <v>1</v>
      </c>
      <c r="F1765" s="1">
        <v>1</v>
      </c>
      <c r="G1765" s="1">
        <v>0</v>
      </c>
      <c r="H1765" s="2">
        <v>0.83407581875280401</v>
      </c>
      <c r="I1765" s="2">
        <v>1.1053220336447425</v>
      </c>
      <c r="J1765" s="3">
        <v>91674</v>
      </c>
      <c r="K1765">
        <v>0.55307117834574271</v>
      </c>
      <c r="L1765">
        <v>29.026662311184204</v>
      </c>
      <c r="M1765">
        <v>1427</v>
      </c>
    </row>
    <row r="1766" spans="1:15" x14ac:dyDescent="0.25">
      <c r="A1766" t="s">
        <v>364</v>
      </c>
      <c r="B1766" s="1" t="s">
        <v>335</v>
      </c>
      <c r="C1766" s="1">
        <v>2016</v>
      </c>
      <c r="D1766" s="1">
        <v>1</v>
      </c>
      <c r="E1766" s="1">
        <v>1</v>
      </c>
      <c r="F1766" s="1">
        <v>1</v>
      </c>
      <c r="G1766" s="1">
        <v>0</v>
      </c>
      <c r="H1766" s="2">
        <v>1.02150291580579</v>
      </c>
      <c r="I1766" s="2">
        <v>1.1888528489920558</v>
      </c>
      <c r="J1766" s="3">
        <v>88777</v>
      </c>
      <c r="K1766">
        <v>0.55307117834574271</v>
      </c>
      <c r="L1766">
        <v>29.026662311184204</v>
      </c>
      <c r="M1766">
        <v>1454.6</v>
      </c>
      <c r="O1766" s="7"/>
    </row>
    <row r="1767" spans="1:15" x14ac:dyDescent="0.25">
      <c r="A1767" t="s">
        <v>364</v>
      </c>
      <c r="B1767" s="1" t="s">
        <v>335</v>
      </c>
      <c r="C1767" s="1">
        <v>2017</v>
      </c>
      <c r="D1767" s="1">
        <v>1</v>
      </c>
      <c r="E1767" s="1">
        <v>1</v>
      </c>
      <c r="F1767" s="1">
        <v>1</v>
      </c>
      <c r="G1767" s="1">
        <v>0</v>
      </c>
      <c r="H1767" s="12">
        <v>1.24889219449503</v>
      </c>
      <c r="I1767" s="12">
        <v>1.0997174701128465</v>
      </c>
      <c r="J1767" s="3">
        <v>95071</v>
      </c>
      <c r="K1767">
        <v>0.55307117834574271</v>
      </c>
      <c r="L1767">
        <v>29.026662311184204</v>
      </c>
      <c r="M1767">
        <v>1479.9</v>
      </c>
    </row>
    <row r="1768" spans="1:15" x14ac:dyDescent="0.25">
      <c r="A1768" s="8" t="s">
        <v>364</v>
      </c>
      <c r="B1768" s="1" t="s">
        <v>335</v>
      </c>
      <c r="C1768" s="1">
        <v>2018</v>
      </c>
      <c r="D1768" s="1">
        <v>1</v>
      </c>
      <c r="E1768" s="1">
        <v>1</v>
      </c>
      <c r="F1768" s="1">
        <v>1</v>
      </c>
      <c r="G1768" s="1">
        <v>0</v>
      </c>
      <c r="H1768" s="12">
        <v>1.2520712164852199</v>
      </c>
      <c r="I1768" s="12">
        <v>1.1053238099267944</v>
      </c>
      <c r="J1768" s="3">
        <v>96470</v>
      </c>
      <c r="K1768">
        <v>0.55307117834574271</v>
      </c>
      <c r="L1768">
        <v>29.026662311184204</v>
      </c>
      <c r="M1768">
        <v>1501.7</v>
      </c>
    </row>
    <row r="1769" spans="1:15" x14ac:dyDescent="0.25">
      <c r="A1769" s="8" t="s">
        <v>365</v>
      </c>
      <c r="B1769" s="1" t="s">
        <v>335</v>
      </c>
      <c r="C1769" s="1">
        <v>2014</v>
      </c>
      <c r="D1769" s="1">
        <v>3</v>
      </c>
      <c r="E1769" s="1">
        <v>3</v>
      </c>
      <c r="F1769" s="1">
        <v>3</v>
      </c>
      <c r="G1769" s="1">
        <v>0</v>
      </c>
      <c r="J1769" s="3">
        <v>19748</v>
      </c>
      <c r="K1769">
        <v>1.5172343567028155</v>
      </c>
      <c r="L1769">
        <v>3.8185428440507105</v>
      </c>
      <c r="M1769">
        <v>4.5999999999999996</v>
      </c>
    </row>
    <row r="1770" spans="1:15" x14ac:dyDescent="0.25">
      <c r="A1770" s="8" t="s">
        <v>365</v>
      </c>
      <c r="B1770" s="1" t="s">
        <v>335</v>
      </c>
      <c r="C1770" s="1">
        <v>2015</v>
      </c>
      <c r="D1770" s="1">
        <v>3</v>
      </c>
      <c r="E1770" s="1">
        <v>3</v>
      </c>
      <c r="F1770" s="1">
        <v>3</v>
      </c>
      <c r="G1770" s="1">
        <v>0</v>
      </c>
      <c r="H1770" s="2">
        <v>0.91514192463653399</v>
      </c>
      <c r="I1770" s="2">
        <v>1.0649111321257971</v>
      </c>
      <c r="J1770" s="3">
        <v>19792</v>
      </c>
      <c r="K1770">
        <v>1.5172343567028155</v>
      </c>
      <c r="L1770">
        <v>3.8185428440507105</v>
      </c>
      <c r="M1770">
        <v>4.5999999999999996</v>
      </c>
    </row>
    <row r="1771" spans="1:15" x14ac:dyDescent="0.25">
      <c r="A1771" t="s">
        <v>365</v>
      </c>
      <c r="B1771" s="1" t="s">
        <v>335</v>
      </c>
      <c r="C1771" s="1">
        <v>2016</v>
      </c>
      <c r="D1771" s="1">
        <v>3</v>
      </c>
      <c r="E1771" s="1">
        <v>3</v>
      </c>
      <c r="F1771" s="1">
        <v>3</v>
      </c>
      <c r="G1771" s="1">
        <v>0</v>
      </c>
      <c r="H1771" s="2">
        <v>0.77701702442635101</v>
      </c>
      <c r="I1771" s="2">
        <v>1.068732652927421</v>
      </c>
      <c r="J1771" s="3">
        <v>19641</v>
      </c>
      <c r="K1771">
        <v>1.5172343567028155</v>
      </c>
      <c r="L1771">
        <v>3.8185428440507105</v>
      </c>
      <c r="M1771">
        <v>4.7</v>
      </c>
      <c r="O1771" s="7"/>
    </row>
    <row r="1772" spans="1:15" x14ac:dyDescent="0.25">
      <c r="A1772" t="s">
        <v>365</v>
      </c>
      <c r="B1772" s="1" t="s">
        <v>335</v>
      </c>
      <c r="C1772" s="1">
        <v>2017</v>
      </c>
      <c r="D1772" s="1">
        <v>3</v>
      </c>
      <c r="E1772" s="1">
        <v>3</v>
      </c>
      <c r="F1772" s="1">
        <v>3</v>
      </c>
      <c r="G1772" s="1">
        <v>0</v>
      </c>
      <c r="H1772" s="12">
        <v>0.70102700646633698</v>
      </c>
      <c r="I1772" s="12">
        <v>0.95762356112326275</v>
      </c>
      <c r="J1772" s="3">
        <v>19885</v>
      </c>
      <c r="K1772">
        <v>1.5172343567028155</v>
      </c>
      <c r="L1772">
        <v>3.8185428440507105</v>
      </c>
      <c r="M1772">
        <v>4.7</v>
      </c>
    </row>
    <row r="1773" spans="1:15" x14ac:dyDescent="0.25">
      <c r="A1773" s="8" t="s">
        <v>365</v>
      </c>
      <c r="B1773" s="1" t="s">
        <v>335</v>
      </c>
      <c r="C1773" s="1">
        <v>2018</v>
      </c>
      <c r="D1773" s="1">
        <v>3</v>
      </c>
      <c r="E1773" s="1">
        <v>3</v>
      </c>
      <c r="F1773" s="1">
        <v>3</v>
      </c>
      <c r="G1773" s="1">
        <v>0</v>
      </c>
      <c r="H1773" s="12">
        <v>0.791180895073336</v>
      </c>
      <c r="I1773" s="12">
        <v>0.97873032392350734</v>
      </c>
      <c r="J1773" s="3">
        <v>19875</v>
      </c>
      <c r="K1773">
        <v>1.5172343567028155</v>
      </c>
      <c r="L1773">
        <v>3.8185428440507105</v>
      </c>
      <c r="M1773">
        <v>4.7</v>
      </c>
    </row>
    <row r="1774" spans="1:15" x14ac:dyDescent="0.25">
      <c r="A1774" s="8" t="s">
        <v>366</v>
      </c>
      <c r="B1774" s="1" t="s">
        <v>335</v>
      </c>
      <c r="C1774" s="1">
        <v>2014</v>
      </c>
      <c r="D1774" s="1">
        <v>1</v>
      </c>
      <c r="E1774" s="1">
        <v>2</v>
      </c>
      <c r="F1774" s="1">
        <v>1.5</v>
      </c>
      <c r="G1774" s="1">
        <v>1</v>
      </c>
      <c r="J1774" s="3">
        <v>191278</v>
      </c>
      <c r="K1774">
        <v>0.73919828145265887</v>
      </c>
      <c r="L1774">
        <v>44.866143806744482</v>
      </c>
      <c r="M1774">
        <v>379.6</v>
      </c>
    </row>
    <row r="1775" spans="1:15" x14ac:dyDescent="0.25">
      <c r="A1775" s="8" t="s">
        <v>366</v>
      </c>
      <c r="B1775" s="1" t="s">
        <v>335</v>
      </c>
      <c r="C1775" s="1">
        <v>2015</v>
      </c>
      <c r="D1775" s="1">
        <v>1</v>
      </c>
      <c r="E1775" s="1">
        <v>2</v>
      </c>
      <c r="F1775" s="1">
        <v>1.5</v>
      </c>
      <c r="G1775" s="1">
        <v>1</v>
      </c>
      <c r="H1775" s="2">
        <v>0.50579210930037299</v>
      </c>
      <c r="I1775" s="2">
        <v>1.1297841965796092</v>
      </c>
      <c r="J1775" s="3">
        <v>198176</v>
      </c>
      <c r="K1775">
        <v>0.73919828145265887</v>
      </c>
      <c r="L1775">
        <v>44.866143806744482</v>
      </c>
      <c r="M1775">
        <v>393.3</v>
      </c>
    </row>
    <row r="1776" spans="1:15" x14ac:dyDescent="0.25">
      <c r="A1776" t="s">
        <v>366</v>
      </c>
      <c r="B1776" s="1" t="s">
        <v>335</v>
      </c>
      <c r="C1776" s="1">
        <v>2016</v>
      </c>
      <c r="D1776" s="1">
        <v>1</v>
      </c>
      <c r="E1776" s="1">
        <v>2</v>
      </c>
      <c r="F1776" s="1">
        <v>1.5</v>
      </c>
      <c r="G1776" s="1">
        <v>1</v>
      </c>
      <c r="H1776" s="2">
        <v>0.461578466351247</v>
      </c>
      <c r="I1776" s="2">
        <v>1.3216674118356564</v>
      </c>
      <c r="J1776" s="3">
        <v>197376</v>
      </c>
      <c r="K1776">
        <v>0.73919828145265887</v>
      </c>
      <c r="L1776">
        <v>44.866143806744482</v>
      </c>
      <c r="M1776">
        <v>410.9</v>
      </c>
      <c r="O1776" s="7"/>
    </row>
    <row r="1777" spans="1:15" x14ac:dyDescent="0.25">
      <c r="A1777" t="s">
        <v>366</v>
      </c>
      <c r="B1777" s="1" t="s">
        <v>335</v>
      </c>
      <c r="C1777" s="1">
        <v>2017</v>
      </c>
      <c r="D1777" s="1">
        <v>1</v>
      </c>
      <c r="E1777" s="1">
        <v>2</v>
      </c>
      <c r="F1777" s="1">
        <v>1.5</v>
      </c>
      <c r="G1777" s="1">
        <v>1</v>
      </c>
      <c r="H1777" s="12">
        <f>1/0.7566</f>
        <v>1.3217023526301876</v>
      </c>
      <c r="I1777" s="12">
        <v>1</v>
      </c>
      <c r="J1777" s="3">
        <v>215238</v>
      </c>
      <c r="K1777">
        <v>0.73919828145265887</v>
      </c>
      <c r="L1777">
        <v>44.866143806744482</v>
      </c>
      <c r="M1777">
        <v>427.2</v>
      </c>
    </row>
    <row r="1778" spans="1:15" x14ac:dyDescent="0.25">
      <c r="A1778" s="8" t="s">
        <v>366</v>
      </c>
      <c r="B1778" s="1" t="s">
        <v>335</v>
      </c>
      <c r="C1778" s="1">
        <v>2018</v>
      </c>
      <c r="D1778" s="1">
        <v>1</v>
      </c>
      <c r="E1778" s="1">
        <v>2</v>
      </c>
      <c r="F1778" s="1">
        <v>1.5</v>
      </c>
      <c r="G1778" s="1">
        <v>1</v>
      </c>
      <c r="H1778" s="12">
        <f>1/0.7584</f>
        <v>1.3185654008438819</v>
      </c>
      <c r="I1778" s="12">
        <v>1</v>
      </c>
      <c r="J1778" s="3">
        <v>224394</v>
      </c>
      <c r="K1778">
        <v>0.73919828145265887</v>
      </c>
      <c r="L1778">
        <v>44.866143806744482</v>
      </c>
      <c r="M1778">
        <v>445.4</v>
      </c>
    </row>
    <row r="1779" spans="1:15" x14ac:dyDescent="0.25">
      <c r="A1779" s="8" t="s">
        <v>367</v>
      </c>
      <c r="B1779" s="1" t="s">
        <v>335</v>
      </c>
      <c r="C1779" s="1">
        <v>2014</v>
      </c>
      <c r="D1779" s="1">
        <v>2</v>
      </c>
      <c r="E1779" s="1">
        <v>2</v>
      </c>
      <c r="F1779" s="1">
        <v>2</v>
      </c>
      <c r="G1779" s="1">
        <v>0</v>
      </c>
      <c r="J1779" s="3">
        <v>15732</v>
      </c>
      <c r="K1779">
        <v>1.2724879333040808</v>
      </c>
      <c r="L1779">
        <v>2.262897260703316</v>
      </c>
      <c r="M1779">
        <v>7.7</v>
      </c>
    </row>
    <row r="1780" spans="1:15" x14ac:dyDescent="0.25">
      <c r="A1780" s="8" t="s">
        <v>367</v>
      </c>
      <c r="B1780" s="1" t="s">
        <v>335</v>
      </c>
      <c r="C1780" s="1">
        <v>2015</v>
      </c>
      <c r="D1780" s="1">
        <v>2</v>
      </c>
      <c r="E1780" s="1">
        <v>2</v>
      </c>
      <c r="F1780" s="1">
        <v>2</v>
      </c>
      <c r="G1780" s="1">
        <v>0</v>
      </c>
      <c r="H1780" s="2">
        <v>0.57717180119764599</v>
      </c>
      <c r="I1780" s="2">
        <v>1.0885426293801526</v>
      </c>
      <c r="J1780" s="3">
        <v>15922</v>
      </c>
      <c r="K1780">
        <v>1.2724879333040808</v>
      </c>
      <c r="L1780">
        <v>2.262897260703316</v>
      </c>
      <c r="M1780">
        <v>7.8</v>
      </c>
    </row>
    <row r="1781" spans="1:15" x14ac:dyDescent="0.25">
      <c r="A1781" t="s">
        <v>367</v>
      </c>
      <c r="B1781" s="1" t="s">
        <v>335</v>
      </c>
      <c r="C1781" s="1">
        <v>2016</v>
      </c>
      <c r="D1781" s="1">
        <v>2</v>
      </c>
      <c r="E1781" s="1">
        <v>2</v>
      </c>
      <c r="F1781" s="1">
        <v>2</v>
      </c>
      <c r="G1781" s="1">
        <v>0</v>
      </c>
      <c r="H1781" s="2">
        <v>0.59676375105720503</v>
      </c>
      <c r="I1781" s="2">
        <v>1.1246419710050526</v>
      </c>
      <c r="J1781" s="3">
        <v>15953</v>
      </c>
      <c r="K1781">
        <v>1.2724879333040808</v>
      </c>
      <c r="L1781">
        <v>2.262897260703316</v>
      </c>
      <c r="M1781">
        <v>7.9</v>
      </c>
      <c r="O1781" s="7"/>
    </row>
    <row r="1782" spans="1:15" x14ac:dyDescent="0.25">
      <c r="A1782" t="s">
        <v>367</v>
      </c>
      <c r="B1782" s="1" t="s">
        <v>335</v>
      </c>
      <c r="C1782" s="1">
        <v>2017</v>
      </c>
      <c r="D1782" s="1">
        <v>2</v>
      </c>
      <c r="E1782" s="1">
        <v>2</v>
      </c>
      <c r="F1782" s="1">
        <v>2</v>
      </c>
      <c r="G1782" s="1">
        <v>0</v>
      </c>
      <c r="H1782" s="12">
        <v>0.82774049217002199</v>
      </c>
      <c r="I1782" s="12">
        <v>0.99063074712643684</v>
      </c>
      <c r="J1782" s="3">
        <v>16333</v>
      </c>
      <c r="K1782">
        <v>1.2724879333040808</v>
      </c>
      <c r="L1782">
        <v>2.262897260703316</v>
      </c>
      <c r="M1782">
        <v>8</v>
      </c>
    </row>
    <row r="1783" spans="1:15" x14ac:dyDescent="0.25">
      <c r="A1783" s="8" t="s">
        <v>367</v>
      </c>
      <c r="B1783" s="1" t="s">
        <v>335</v>
      </c>
      <c r="C1783" s="1">
        <v>2018</v>
      </c>
      <c r="D1783" s="1">
        <v>2</v>
      </c>
      <c r="E1783" s="1">
        <v>2</v>
      </c>
      <c r="F1783" s="1">
        <v>2</v>
      </c>
      <c r="G1783" s="1">
        <v>0</v>
      </c>
      <c r="H1783" s="12">
        <v>0.71011883327331604</v>
      </c>
      <c r="I1783" s="12">
        <v>0.99658056771095538</v>
      </c>
      <c r="J1783" s="3">
        <v>16490</v>
      </c>
      <c r="K1783">
        <v>1.2724879333040808</v>
      </c>
      <c r="L1783">
        <v>2.262897260703316</v>
      </c>
      <c r="M1783">
        <v>8.1</v>
      </c>
    </row>
    <row r="1784" spans="1:15" x14ac:dyDescent="0.25">
      <c r="A1784" s="8" t="s">
        <v>264</v>
      </c>
      <c r="B1784" s="1" t="s">
        <v>335</v>
      </c>
      <c r="C1784" s="1">
        <v>2014</v>
      </c>
      <c r="D1784" s="1">
        <v>1</v>
      </c>
      <c r="E1784" s="1">
        <v>1</v>
      </c>
      <c r="F1784" s="1">
        <v>1</v>
      </c>
      <c r="G1784" s="1">
        <v>0</v>
      </c>
      <c r="J1784" s="3">
        <v>154210</v>
      </c>
      <c r="K1784">
        <v>0.38113733494507529</v>
      </c>
      <c r="L1784">
        <v>25.987357073499396</v>
      </c>
      <c r="M1784">
        <v>1687.8</v>
      </c>
    </row>
    <row r="1785" spans="1:15" x14ac:dyDescent="0.25">
      <c r="A1785" s="8" t="s">
        <v>264</v>
      </c>
      <c r="B1785" s="1" t="s">
        <v>335</v>
      </c>
      <c r="C1785" s="1">
        <v>2015</v>
      </c>
      <c r="D1785" s="1">
        <v>1</v>
      </c>
      <c r="E1785" s="1">
        <v>1</v>
      </c>
      <c r="F1785" s="1">
        <v>1</v>
      </c>
      <c r="G1785" s="1">
        <v>0</v>
      </c>
      <c r="H1785" s="2">
        <v>1.12663488571079</v>
      </c>
      <c r="I1785" s="2">
        <v>1.1071578922046212</v>
      </c>
      <c r="J1785" s="3">
        <v>156244</v>
      </c>
      <c r="K1785">
        <v>0.38113733494507529</v>
      </c>
      <c r="L1785">
        <v>25.987357073499396</v>
      </c>
      <c r="M1785">
        <v>1710.1</v>
      </c>
    </row>
    <row r="1786" spans="1:15" x14ac:dyDescent="0.25">
      <c r="A1786" t="s">
        <v>264</v>
      </c>
      <c r="B1786" s="1" t="s">
        <v>335</v>
      </c>
      <c r="C1786" s="1">
        <v>2016</v>
      </c>
      <c r="D1786" s="1">
        <v>1</v>
      </c>
      <c r="E1786" s="1">
        <v>1</v>
      </c>
      <c r="F1786" s="1">
        <v>1</v>
      </c>
      <c r="G1786" s="1">
        <v>0</v>
      </c>
      <c r="H1786" s="2">
        <v>1.09286228694887</v>
      </c>
      <c r="I1786" s="2">
        <v>1.2219602875807791</v>
      </c>
      <c r="J1786" s="3">
        <v>151389</v>
      </c>
      <c r="K1786">
        <v>0.38113733494507529</v>
      </c>
      <c r="L1786">
        <v>25.987357073499396</v>
      </c>
      <c r="M1786">
        <v>1739.6</v>
      </c>
      <c r="O1786" s="7"/>
    </row>
    <row r="1787" spans="1:15" x14ac:dyDescent="0.25">
      <c r="A1787" t="s">
        <v>264</v>
      </c>
      <c r="B1787" s="1" t="s">
        <v>335</v>
      </c>
      <c r="C1787" s="1">
        <v>2017</v>
      </c>
      <c r="D1787" s="1">
        <v>1</v>
      </c>
      <c r="E1787" s="1">
        <v>1</v>
      </c>
      <c r="F1787" s="1">
        <v>1</v>
      </c>
      <c r="G1787" s="1">
        <v>0</v>
      </c>
      <c r="H1787" s="12">
        <v>1.05969811320755</v>
      </c>
      <c r="I1787" s="12">
        <v>1.0600496362084268</v>
      </c>
      <c r="J1787" s="3">
        <v>161051</v>
      </c>
      <c r="K1787">
        <v>0.38113733494507529</v>
      </c>
      <c r="L1787">
        <v>25.987357073499396</v>
      </c>
      <c r="M1787">
        <v>1762.7</v>
      </c>
    </row>
    <row r="1788" spans="1:15" x14ac:dyDescent="0.25">
      <c r="A1788" s="8" t="s">
        <v>264</v>
      </c>
      <c r="B1788" s="1" t="s">
        <v>335</v>
      </c>
      <c r="C1788" s="1">
        <v>2018</v>
      </c>
      <c r="D1788" s="1">
        <v>1</v>
      </c>
      <c r="E1788" s="1">
        <v>1</v>
      </c>
      <c r="F1788" s="1">
        <v>1</v>
      </c>
      <c r="G1788" s="1">
        <v>0</v>
      </c>
      <c r="H1788" s="12">
        <v>0.87540636042402797</v>
      </c>
      <c r="I1788" s="12">
        <v>1.044467538150194</v>
      </c>
      <c r="J1788" s="3">
        <v>163431</v>
      </c>
      <c r="K1788">
        <v>0.38113733494507529</v>
      </c>
      <c r="L1788">
        <v>25.987357073499396</v>
      </c>
      <c r="M1788">
        <v>1788.7</v>
      </c>
    </row>
    <row r="1789" spans="1:15" x14ac:dyDescent="0.25">
      <c r="A1789" s="8" t="s">
        <v>368</v>
      </c>
      <c r="B1789" s="1" t="s">
        <v>335</v>
      </c>
      <c r="C1789" s="1">
        <v>2014</v>
      </c>
      <c r="D1789" s="1">
        <v>1</v>
      </c>
      <c r="E1789" s="1">
        <v>1</v>
      </c>
      <c r="F1789" s="1">
        <v>1</v>
      </c>
      <c r="G1789" s="1">
        <v>0</v>
      </c>
      <c r="J1789" s="3">
        <v>157434</v>
      </c>
      <c r="K1789">
        <v>0.48601963545282884</v>
      </c>
      <c r="L1789">
        <v>25.194505187886495</v>
      </c>
      <c r="M1789">
        <v>1382.1</v>
      </c>
    </row>
    <row r="1790" spans="1:15" x14ac:dyDescent="0.25">
      <c r="A1790" s="8" t="s">
        <v>368</v>
      </c>
      <c r="B1790" s="1" t="s">
        <v>335</v>
      </c>
      <c r="C1790" s="1">
        <v>2015</v>
      </c>
      <c r="D1790" s="1">
        <v>1</v>
      </c>
      <c r="E1790" s="1">
        <v>1</v>
      </c>
      <c r="F1790" s="1">
        <v>1</v>
      </c>
      <c r="G1790" s="1">
        <v>0</v>
      </c>
      <c r="H1790" s="2">
        <v>1.09722743604869</v>
      </c>
      <c r="I1790" s="2">
        <v>1.0758352458371763</v>
      </c>
      <c r="J1790" s="3">
        <v>158700</v>
      </c>
      <c r="K1790">
        <v>0.48601963545282884</v>
      </c>
      <c r="L1790">
        <v>25.194505187886495</v>
      </c>
      <c r="M1790">
        <v>1393.2</v>
      </c>
    </row>
    <row r="1791" spans="1:15" x14ac:dyDescent="0.25">
      <c r="A1791" t="s">
        <v>368</v>
      </c>
      <c r="B1791" s="1" t="s">
        <v>335</v>
      </c>
      <c r="C1791" s="1">
        <v>2016</v>
      </c>
      <c r="D1791" s="1">
        <v>1</v>
      </c>
      <c r="E1791" s="1">
        <v>1</v>
      </c>
      <c r="F1791" s="1">
        <v>1</v>
      </c>
      <c r="G1791" s="1">
        <v>0</v>
      </c>
      <c r="H1791" s="2">
        <v>1.12651784293971</v>
      </c>
      <c r="I1791" s="2">
        <v>1.1149001365712976</v>
      </c>
      <c r="J1791" s="3">
        <v>154109</v>
      </c>
      <c r="K1791">
        <v>0.48601963545282884</v>
      </c>
      <c r="L1791">
        <v>25.194505187886495</v>
      </c>
      <c r="M1791">
        <v>1407.7</v>
      </c>
      <c r="O1791" s="7"/>
    </row>
    <row r="1792" spans="1:15" x14ac:dyDescent="0.25">
      <c r="A1792" t="s">
        <v>368</v>
      </c>
      <c r="B1792" s="1" t="s">
        <v>335</v>
      </c>
      <c r="C1792" s="1">
        <v>2017</v>
      </c>
      <c r="D1792" s="1">
        <v>1</v>
      </c>
      <c r="E1792" s="1">
        <v>1</v>
      </c>
      <c r="F1792" s="1">
        <v>1</v>
      </c>
      <c r="G1792" s="1">
        <v>0</v>
      </c>
      <c r="H1792" s="12">
        <v>1.06499320891393</v>
      </c>
      <c r="I1792" s="12">
        <v>1.0525605642440969</v>
      </c>
      <c r="J1792" s="3">
        <v>161827</v>
      </c>
      <c r="K1792">
        <v>0.48601963545282884</v>
      </c>
      <c r="L1792">
        <v>25.194505187886495</v>
      </c>
      <c r="M1792">
        <v>1420.6</v>
      </c>
    </row>
    <row r="1793" spans="1:15" x14ac:dyDescent="0.25">
      <c r="A1793" s="8" t="s">
        <v>368</v>
      </c>
      <c r="B1793" s="1" t="s">
        <v>335</v>
      </c>
      <c r="C1793" s="1">
        <v>2018</v>
      </c>
      <c r="D1793" s="1">
        <v>1</v>
      </c>
      <c r="E1793" s="1">
        <v>1</v>
      </c>
      <c r="F1793" s="1">
        <v>1</v>
      </c>
      <c r="G1793" s="1">
        <v>0</v>
      </c>
      <c r="H1793" s="12">
        <v>1.0543702684101901</v>
      </c>
      <c r="I1793" s="12">
        <v>1.0769184403337932</v>
      </c>
      <c r="J1793" s="3">
        <v>163203</v>
      </c>
      <c r="K1793">
        <v>0.48601963545282884</v>
      </c>
      <c r="L1793">
        <v>25.194505187886495</v>
      </c>
      <c r="M1793">
        <v>1432.7</v>
      </c>
    </row>
    <row r="1794" spans="1:15" x14ac:dyDescent="0.25">
      <c r="A1794" s="8" t="s">
        <v>324</v>
      </c>
      <c r="B1794" s="1" t="s">
        <v>335</v>
      </c>
      <c r="C1794" s="1">
        <v>2014</v>
      </c>
      <c r="D1794" s="1">
        <v>2</v>
      </c>
      <c r="E1794" s="1">
        <v>2</v>
      </c>
      <c r="F1794" s="1">
        <v>2</v>
      </c>
      <c r="G1794" s="1">
        <v>0</v>
      </c>
      <c r="J1794" s="3">
        <v>74134</v>
      </c>
      <c r="K1794">
        <v>1.6094025144354807</v>
      </c>
      <c r="L1794">
        <v>6.5782109559496025</v>
      </c>
      <c r="M1794">
        <v>52</v>
      </c>
    </row>
    <row r="1795" spans="1:15" x14ac:dyDescent="0.25">
      <c r="A1795" s="8" t="s">
        <v>324</v>
      </c>
      <c r="B1795" s="1" t="s">
        <v>335</v>
      </c>
      <c r="C1795" s="1">
        <v>2015</v>
      </c>
      <c r="D1795" s="1">
        <v>2</v>
      </c>
      <c r="E1795" s="1">
        <v>2</v>
      </c>
      <c r="F1795" s="1">
        <v>2</v>
      </c>
      <c r="G1795" s="1">
        <v>0</v>
      </c>
      <c r="H1795" s="2">
        <v>0.79858399708469996</v>
      </c>
      <c r="I1795" s="2">
        <v>1.0618194830200898</v>
      </c>
      <c r="J1795" s="3">
        <v>74266</v>
      </c>
      <c r="K1795">
        <v>1.6094025144354807</v>
      </c>
      <c r="L1795">
        <v>6.5782109559496025</v>
      </c>
      <c r="M1795">
        <v>52.1</v>
      </c>
    </row>
    <row r="1796" spans="1:15" x14ac:dyDescent="0.25">
      <c r="A1796" t="s">
        <v>324</v>
      </c>
      <c r="B1796" s="1" t="s">
        <v>335</v>
      </c>
      <c r="C1796" s="1">
        <v>2016</v>
      </c>
      <c r="D1796" s="1">
        <v>2</v>
      </c>
      <c r="E1796" s="1">
        <v>2</v>
      </c>
      <c r="F1796" s="1">
        <v>2</v>
      </c>
      <c r="G1796" s="1">
        <v>0</v>
      </c>
      <c r="H1796" s="2">
        <v>0.71347715527848399</v>
      </c>
      <c r="I1796" s="2">
        <v>1.1526636422553469</v>
      </c>
      <c r="J1796" s="3">
        <v>73257</v>
      </c>
      <c r="K1796">
        <v>1.6094025144354807</v>
      </c>
      <c r="L1796">
        <v>6.5782109559496025</v>
      </c>
      <c r="M1796">
        <v>52.3</v>
      </c>
      <c r="O1796" s="7"/>
    </row>
    <row r="1797" spans="1:15" x14ac:dyDescent="0.25">
      <c r="A1797" t="s">
        <v>324</v>
      </c>
      <c r="B1797" s="1" t="s">
        <v>335</v>
      </c>
      <c r="C1797" s="1">
        <v>2017</v>
      </c>
      <c r="D1797" s="1">
        <v>2</v>
      </c>
      <c r="E1797" s="1">
        <v>2</v>
      </c>
      <c r="F1797" s="1">
        <v>2</v>
      </c>
      <c r="G1797" s="1">
        <v>0</v>
      </c>
      <c r="H1797" s="12">
        <v>0.71343244539390505</v>
      </c>
      <c r="I1797" s="12">
        <v>1.0266939921295779</v>
      </c>
      <c r="J1797" s="3">
        <v>74908</v>
      </c>
      <c r="K1797">
        <v>1.6094025144354807</v>
      </c>
      <c r="L1797">
        <v>6.5782109559496025</v>
      </c>
      <c r="M1797">
        <v>52.5</v>
      </c>
    </row>
    <row r="1798" spans="1:15" x14ac:dyDescent="0.25">
      <c r="A1798" s="8" t="s">
        <v>324</v>
      </c>
      <c r="B1798" s="1" t="s">
        <v>335</v>
      </c>
      <c r="C1798" s="1">
        <v>2018</v>
      </c>
      <c r="D1798" s="1">
        <v>2</v>
      </c>
      <c r="E1798" s="1">
        <v>2</v>
      </c>
      <c r="F1798" s="1">
        <v>2</v>
      </c>
      <c r="G1798" s="1">
        <v>0</v>
      </c>
      <c r="H1798" s="12">
        <v>0.73578893703798098</v>
      </c>
      <c r="I1798" s="12">
        <v>1.0349856449604919</v>
      </c>
      <c r="J1798" s="3">
        <v>75211</v>
      </c>
      <c r="K1798">
        <v>1.6094025144354807</v>
      </c>
      <c r="L1798">
        <v>6.5782109559496025</v>
      </c>
      <c r="M1798">
        <v>52.8</v>
      </c>
    </row>
    <row r="1799" spans="1:15" x14ac:dyDescent="0.25">
      <c r="A1799" s="8" t="s">
        <v>369</v>
      </c>
      <c r="B1799" s="1" t="s">
        <v>335</v>
      </c>
      <c r="C1799" s="1">
        <v>2014</v>
      </c>
      <c r="D1799" s="1">
        <v>2</v>
      </c>
      <c r="E1799" s="1">
        <v>3</v>
      </c>
      <c r="F1799" s="1">
        <v>2.5</v>
      </c>
      <c r="G1799" s="1">
        <v>1</v>
      </c>
      <c r="J1799" s="3">
        <v>7513</v>
      </c>
      <c r="K1799">
        <v>1.4776357827476039</v>
      </c>
      <c r="L1799">
        <v>2.8620873269435569</v>
      </c>
      <c r="M1799">
        <v>1.1000000000000001</v>
      </c>
    </row>
    <row r="1800" spans="1:15" x14ac:dyDescent="0.25">
      <c r="A1800" s="8" t="s">
        <v>369</v>
      </c>
      <c r="B1800" s="1" t="s">
        <v>335</v>
      </c>
      <c r="C1800" s="1">
        <v>2015</v>
      </c>
      <c r="D1800" s="1">
        <v>2</v>
      </c>
      <c r="E1800" s="1">
        <v>3</v>
      </c>
      <c r="F1800" s="1">
        <v>2.5</v>
      </c>
      <c r="G1800" s="1">
        <v>1</v>
      </c>
      <c r="H1800" s="2">
        <v>0.42468322507772899</v>
      </c>
      <c r="I1800" s="2">
        <v>1.121347376399962</v>
      </c>
      <c r="J1800" s="3">
        <v>7531</v>
      </c>
      <c r="K1800">
        <v>1.4776357827476039</v>
      </c>
      <c r="L1800">
        <v>2.8620873269435569</v>
      </c>
      <c r="M1800">
        <v>1.1000000000000001</v>
      </c>
    </row>
    <row r="1801" spans="1:15" x14ac:dyDescent="0.25">
      <c r="A1801" t="s">
        <v>369</v>
      </c>
      <c r="B1801" s="1" t="s">
        <v>335</v>
      </c>
      <c r="C1801" s="1">
        <v>2016</v>
      </c>
      <c r="D1801" s="1">
        <v>2</v>
      </c>
      <c r="E1801" s="1">
        <v>3</v>
      </c>
      <c r="F1801" s="1">
        <v>2.5</v>
      </c>
      <c r="G1801" s="1">
        <v>1</v>
      </c>
      <c r="H1801" s="2">
        <v>0.33927223125036898</v>
      </c>
      <c r="I1801" s="2">
        <v>1.1089981883437237</v>
      </c>
      <c r="J1801" s="3">
        <v>7512</v>
      </c>
      <c r="K1801">
        <v>1.4776357827476039</v>
      </c>
      <c r="L1801">
        <v>2.8620873269435569</v>
      </c>
      <c r="M1801">
        <v>1.1000000000000001</v>
      </c>
      <c r="O1801" s="7"/>
    </row>
    <row r="1802" spans="1:15" x14ac:dyDescent="0.25">
      <c r="A1802" t="s">
        <v>369</v>
      </c>
      <c r="B1802" s="1" t="s">
        <v>335</v>
      </c>
      <c r="C1802" s="1">
        <v>2017</v>
      </c>
      <c r="D1802" s="1">
        <v>2</v>
      </c>
      <c r="E1802" s="1">
        <v>3</v>
      </c>
      <c r="F1802" s="1">
        <v>2.5</v>
      </c>
      <c r="G1802" s="1">
        <v>1</v>
      </c>
      <c r="H1802" s="12">
        <v>0.70746326262385195</v>
      </c>
      <c r="I1802" s="12">
        <v>0.96128930501246113</v>
      </c>
      <c r="J1802" s="3">
        <v>7507</v>
      </c>
      <c r="K1802">
        <v>1.4776357827476039</v>
      </c>
      <c r="L1802">
        <v>2.8620873269435569</v>
      </c>
      <c r="M1802">
        <v>1.1000000000000001</v>
      </c>
    </row>
    <row r="1803" spans="1:15" x14ac:dyDescent="0.25">
      <c r="A1803" s="8" t="s">
        <v>369</v>
      </c>
      <c r="B1803" s="1" t="s">
        <v>335</v>
      </c>
      <c r="C1803" s="1">
        <v>2018</v>
      </c>
      <c r="D1803" s="1">
        <v>2</v>
      </c>
      <c r="E1803" s="1">
        <v>3</v>
      </c>
      <c r="F1803" s="1">
        <v>2.5</v>
      </c>
      <c r="G1803" s="1">
        <v>1</v>
      </c>
      <c r="H1803" s="12">
        <v>0.74578072467933498</v>
      </c>
      <c r="I1803" s="12">
        <v>0.97344916569278805</v>
      </c>
      <c r="J1803" s="3">
        <v>7513</v>
      </c>
      <c r="K1803">
        <v>1.4776357827476039</v>
      </c>
      <c r="L1803">
        <v>2.8620873269435569</v>
      </c>
      <c r="M1803">
        <v>1.1000000000000001</v>
      </c>
    </row>
    <row r="1804" spans="1:15" x14ac:dyDescent="0.25">
      <c r="A1804" s="8" t="s">
        <v>370</v>
      </c>
      <c r="B1804" s="1" t="s">
        <v>335</v>
      </c>
      <c r="C1804" s="1">
        <v>2014</v>
      </c>
      <c r="D1804" s="1">
        <v>2</v>
      </c>
      <c r="E1804" s="1">
        <v>2</v>
      </c>
      <c r="F1804" s="1">
        <v>2</v>
      </c>
      <c r="G1804" s="1">
        <v>0</v>
      </c>
      <c r="J1804" s="3">
        <v>45471</v>
      </c>
      <c r="K1804">
        <v>0.65071687308851911</v>
      </c>
      <c r="L1804">
        <v>4.5116369867470665</v>
      </c>
      <c r="M1804">
        <v>26</v>
      </c>
    </row>
    <row r="1805" spans="1:15" x14ac:dyDescent="0.25">
      <c r="A1805" s="8" t="s">
        <v>370</v>
      </c>
      <c r="B1805" s="1" t="s">
        <v>335</v>
      </c>
      <c r="C1805" s="1">
        <v>2015</v>
      </c>
      <c r="D1805" s="1">
        <v>2</v>
      </c>
      <c r="E1805" s="1">
        <v>2</v>
      </c>
      <c r="F1805" s="1">
        <v>2</v>
      </c>
      <c r="G1805" s="1">
        <v>0</v>
      </c>
      <c r="H1805" s="2">
        <v>0.75185294989623497</v>
      </c>
      <c r="I1805" s="2">
        <v>0.97534300995372603</v>
      </c>
      <c r="J1805" s="3">
        <v>46373</v>
      </c>
      <c r="K1805">
        <v>0.65071687308851911</v>
      </c>
      <c r="L1805">
        <v>4.5116369867470665</v>
      </c>
      <c r="M1805">
        <v>26.5</v>
      </c>
    </row>
    <row r="1806" spans="1:15" x14ac:dyDescent="0.25">
      <c r="A1806" t="s">
        <v>370</v>
      </c>
      <c r="B1806" s="1" t="s">
        <v>335</v>
      </c>
      <c r="C1806" s="1">
        <v>2016</v>
      </c>
      <c r="D1806" s="1">
        <v>2</v>
      </c>
      <c r="E1806" s="1">
        <v>2</v>
      </c>
      <c r="F1806" s="1">
        <v>2</v>
      </c>
      <c r="G1806" s="1">
        <v>0</v>
      </c>
      <c r="H1806" s="2">
        <v>0.57395277989337401</v>
      </c>
      <c r="I1806" s="2">
        <v>1.1240029542097487</v>
      </c>
      <c r="J1806" s="3">
        <v>46103</v>
      </c>
      <c r="K1806">
        <v>0.65071687308851911</v>
      </c>
      <c r="L1806">
        <v>4.5116369867470665</v>
      </c>
      <c r="M1806">
        <v>27.2</v>
      </c>
      <c r="O1806" s="7"/>
    </row>
    <row r="1807" spans="1:15" x14ac:dyDescent="0.25">
      <c r="A1807" t="s">
        <v>370</v>
      </c>
      <c r="B1807" s="1" t="s">
        <v>335</v>
      </c>
      <c r="C1807" s="1">
        <v>2017</v>
      </c>
      <c r="D1807" s="1">
        <v>2</v>
      </c>
      <c r="E1807" s="1">
        <v>2</v>
      </c>
      <c r="F1807" s="1">
        <v>2</v>
      </c>
      <c r="G1807" s="1">
        <v>0</v>
      </c>
      <c r="H1807" s="12">
        <v>0.52921389396709295</v>
      </c>
      <c r="I1807" s="12">
        <v>0.98829736762655085</v>
      </c>
      <c r="J1807" s="3">
        <v>48422</v>
      </c>
      <c r="K1807">
        <v>0.65071687308851911</v>
      </c>
      <c r="L1807">
        <v>4.5116369867470665</v>
      </c>
      <c r="M1807">
        <v>27.7</v>
      </c>
    </row>
    <row r="1808" spans="1:15" x14ac:dyDescent="0.25">
      <c r="A1808" s="8" t="s">
        <v>370</v>
      </c>
      <c r="B1808" s="1" t="s">
        <v>335</v>
      </c>
      <c r="C1808" s="1">
        <v>2018</v>
      </c>
      <c r="D1808" s="1">
        <v>2</v>
      </c>
      <c r="E1808" s="1">
        <v>2</v>
      </c>
      <c r="F1808" s="1">
        <v>2</v>
      </c>
      <c r="G1808" s="1">
        <v>0</v>
      </c>
      <c r="H1808" s="12">
        <v>0.51929226177787302</v>
      </c>
      <c r="I1808" s="12">
        <v>1.0005813148788927</v>
      </c>
      <c r="J1808" s="3">
        <v>49388</v>
      </c>
      <c r="K1808">
        <v>0.65071687308851911</v>
      </c>
      <c r="L1808">
        <v>4.5116369867470665</v>
      </c>
      <c r="M1808">
        <v>28.2</v>
      </c>
    </row>
    <row r="1809" spans="1:15" x14ac:dyDescent="0.25">
      <c r="A1809" s="8" t="s">
        <v>371</v>
      </c>
      <c r="B1809" s="1" t="s">
        <v>335</v>
      </c>
      <c r="C1809" s="1">
        <v>2014</v>
      </c>
      <c r="D1809" s="1">
        <v>1</v>
      </c>
      <c r="E1809" s="1">
        <v>2</v>
      </c>
      <c r="F1809" s="1">
        <v>1.5</v>
      </c>
      <c r="G1809" s="1">
        <v>1</v>
      </c>
      <c r="J1809" s="3">
        <v>119437</v>
      </c>
      <c r="K1809">
        <v>0.18579046963702045</v>
      </c>
      <c r="L1809">
        <v>42.494409083089629</v>
      </c>
      <c r="M1809">
        <v>1053.7</v>
      </c>
    </row>
    <row r="1810" spans="1:15" x14ac:dyDescent="0.25">
      <c r="A1810" s="8" t="s">
        <v>371</v>
      </c>
      <c r="B1810" s="1" t="s">
        <v>335</v>
      </c>
      <c r="C1810" s="1">
        <v>2015</v>
      </c>
      <c r="D1810" s="1">
        <v>1</v>
      </c>
      <c r="E1810" s="1">
        <v>2</v>
      </c>
      <c r="F1810" s="1">
        <v>1.5</v>
      </c>
      <c r="G1810" s="1">
        <v>1</v>
      </c>
      <c r="H1810" s="2">
        <v>0.71285119667013497</v>
      </c>
      <c r="I1810" s="2">
        <v>1.0755245414682446</v>
      </c>
      <c r="J1810" s="3">
        <v>120785</v>
      </c>
      <c r="K1810">
        <v>0.18579046963702045</v>
      </c>
      <c r="L1810">
        <v>42.494409083089629</v>
      </c>
      <c r="M1810">
        <v>1065.5999999999999</v>
      </c>
    </row>
    <row r="1811" spans="1:15" x14ac:dyDescent="0.25">
      <c r="A1811" t="s">
        <v>371</v>
      </c>
      <c r="B1811" s="1" t="s">
        <v>335</v>
      </c>
      <c r="C1811" s="1">
        <v>2016</v>
      </c>
      <c r="D1811" s="1">
        <v>1</v>
      </c>
      <c r="E1811" s="1">
        <v>2</v>
      </c>
      <c r="F1811" s="1">
        <v>1.5</v>
      </c>
      <c r="G1811" s="1">
        <v>1</v>
      </c>
      <c r="H1811" s="2">
        <v>1.23598804313014</v>
      </c>
      <c r="I1811" s="2">
        <v>1.1280146919815264</v>
      </c>
      <c r="J1811" s="3">
        <v>116260</v>
      </c>
      <c r="K1811">
        <v>0.18579046963702045</v>
      </c>
      <c r="L1811">
        <v>42.494409083089629</v>
      </c>
      <c r="M1811">
        <v>1081.4000000000001</v>
      </c>
      <c r="O1811" s="7"/>
    </row>
    <row r="1812" spans="1:15" x14ac:dyDescent="0.25">
      <c r="A1812" t="s">
        <v>371</v>
      </c>
      <c r="B1812" s="1" t="s">
        <v>335</v>
      </c>
      <c r="C1812" s="1">
        <v>2017</v>
      </c>
      <c r="D1812" s="1">
        <v>1</v>
      </c>
      <c r="E1812" s="1">
        <v>2</v>
      </c>
      <c r="F1812" s="1">
        <v>1.5</v>
      </c>
      <c r="G1812" s="1">
        <v>1</v>
      </c>
      <c r="H1812" s="12">
        <v>1.2450362733867899</v>
      </c>
      <c r="I1812" s="12">
        <v>1.0876264271877594</v>
      </c>
      <c r="J1812" s="3">
        <v>124270</v>
      </c>
      <c r="K1812">
        <v>0.18579046963702045</v>
      </c>
      <c r="L1812">
        <v>42.494409083089629</v>
      </c>
      <c r="M1812">
        <v>1096.4000000000001</v>
      </c>
    </row>
    <row r="1813" spans="1:15" x14ac:dyDescent="0.25">
      <c r="A1813" s="8" t="s">
        <v>371</v>
      </c>
      <c r="B1813" s="1" t="s">
        <v>335</v>
      </c>
      <c r="C1813" s="1">
        <v>2018</v>
      </c>
      <c r="D1813" s="1">
        <v>1</v>
      </c>
      <c r="E1813" s="1">
        <v>2</v>
      </c>
      <c r="F1813" s="1">
        <v>1.5</v>
      </c>
      <c r="G1813" s="1">
        <v>1</v>
      </c>
      <c r="H1813" s="12">
        <v>0.81078946145625197</v>
      </c>
      <c r="I1813" s="12">
        <v>1.0921911231025179</v>
      </c>
      <c r="J1813" s="3">
        <v>125508</v>
      </c>
      <c r="K1813">
        <v>0.18579046963702045</v>
      </c>
      <c r="L1813">
        <v>42.494409083089629</v>
      </c>
      <c r="M1813">
        <v>1107.3</v>
      </c>
    </row>
    <row r="1814" spans="1:15" x14ac:dyDescent="0.25">
      <c r="A1814" s="8" t="s">
        <v>372</v>
      </c>
      <c r="B1814" s="1" t="s">
        <v>335</v>
      </c>
      <c r="C1814" s="1">
        <v>2014</v>
      </c>
      <c r="D1814" s="1">
        <v>2</v>
      </c>
      <c r="E1814" s="1">
        <v>3</v>
      </c>
      <c r="F1814" s="1">
        <v>2.5</v>
      </c>
      <c r="G1814" s="1">
        <v>1</v>
      </c>
      <c r="J1814" s="3">
        <v>8395</v>
      </c>
      <c r="K1814">
        <v>0.73349633251833746</v>
      </c>
      <c r="L1814">
        <v>4.0051228315286993</v>
      </c>
      <c r="M1814">
        <v>2.2000000000000002</v>
      </c>
    </row>
    <row r="1815" spans="1:15" x14ac:dyDescent="0.25">
      <c r="A1815" s="8" t="s">
        <v>372</v>
      </c>
      <c r="B1815" s="1" t="s">
        <v>335</v>
      </c>
      <c r="C1815" s="1">
        <v>2015</v>
      </c>
      <c r="D1815" s="1">
        <v>2</v>
      </c>
      <c r="E1815" s="1">
        <v>3</v>
      </c>
      <c r="F1815" s="1">
        <v>2.5</v>
      </c>
      <c r="G1815" s="1">
        <v>1</v>
      </c>
      <c r="H1815" s="2">
        <v>0.39674289674289698</v>
      </c>
      <c r="I1815" s="2">
        <v>1.0502742230347348</v>
      </c>
      <c r="J1815" s="3">
        <v>8530</v>
      </c>
      <c r="K1815">
        <v>0.73349633251833746</v>
      </c>
      <c r="L1815">
        <v>4.0051228315286993</v>
      </c>
      <c r="M1815">
        <v>2.2000000000000002</v>
      </c>
    </row>
    <row r="1816" spans="1:15" x14ac:dyDescent="0.25">
      <c r="A1816" t="s">
        <v>372</v>
      </c>
      <c r="B1816" s="1" t="s">
        <v>335</v>
      </c>
      <c r="C1816" s="1">
        <v>2016</v>
      </c>
      <c r="D1816" s="1">
        <v>2</v>
      </c>
      <c r="E1816" s="1">
        <v>3</v>
      </c>
      <c r="F1816" s="1">
        <v>2.5</v>
      </c>
      <c r="G1816" s="1">
        <v>1</v>
      </c>
      <c r="H1816" s="2">
        <v>0.612334004238416</v>
      </c>
      <c r="I1816" s="2">
        <v>1.1810476121486586</v>
      </c>
      <c r="J1816" s="3">
        <v>8589</v>
      </c>
      <c r="K1816">
        <v>0.73349633251833746</v>
      </c>
      <c r="L1816">
        <v>4.0051228315286993</v>
      </c>
      <c r="M1816">
        <v>2.2999999999999998</v>
      </c>
      <c r="O1816" s="7"/>
    </row>
    <row r="1817" spans="1:15" x14ac:dyDescent="0.25">
      <c r="A1817" t="s">
        <v>372</v>
      </c>
      <c r="B1817" s="1" t="s">
        <v>335</v>
      </c>
      <c r="C1817" s="1">
        <v>2017</v>
      </c>
      <c r="D1817" s="1">
        <v>2</v>
      </c>
      <c r="E1817" s="1">
        <v>3</v>
      </c>
      <c r="F1817" s="1">
        <v>2.5</v>
      </c>
      <c r="G1817" s="1">
        <v>1</v>
      </c>
      <c r="H1817" s="12">
        <v>0.69967741935483896</v>
      </c>
      <c r="I1817" s="12">
        <v>0.99530879187593124</v>
      </c>
      <c r="J1817" s="3">
        <v>8796</v>
      </c>
      <c r="K1817">
        <v>0.73349633251833746</v>
      </c>
      <c r="L1817">
        <v>4.0051228315286993</v>
      </c>
      <c r="M1817">
        <v>2.2999999999999998</v>
      </c>
    </row>
    <row r="1818" spans="1:15" x14ac:dyDescent="0.25">
      <c r="A1818" s="8" t="s">
        <v>372</v>
      </c>
      <c r="B1818" s="1" t="s">
        <v>335</v>
      </c>
      <c r="C1818" s="1">
        <v>2018</v>
      </c>
      <c r="D1818" s="1">
        <v>2</v>
      </c>
      <c r="E1818" s="1">
        <v>3</v>
      </c>
      <c r="F1818" s="1">
        <v>2.5</v>
      </c>
      <c r="G1818" s="1">
        <v>1</v>
      </c>
      <c r="H1818" s="12">
        <v>0.69093749999999998</v>
      </c>
      <c r="I1818" s="12">
        <v>0.99504363753905822</v>
      </c>
      <c r="J1818" s="3">
        <v>8979</v>
      </c>
      <c r="K1818">
        <v>0.73349633251833746</v>
      </c>
      <c r="L1818">
        <v>4.0051228315286993</v>
      </c>
      <c r="M1818">
        <v>2.2999999999999998</v>
      </c>
    </row>
    <row r="1819" spans="1:15" x14ac:dyDescent="0.25">
      <c r="A1819" s="8" t="s">
        <v>373</v>
      </c>
      <c r="B1819" s="1" t="s">
        <v>335</v>
      </c>
      <c r="C1819" s="1">
        <v>2014</v>
      </c>
      <c r="D1819" s="1">
        <v>1</v>
      </c>
      <c r="E1819" s="1">
        <v>1</v>
      </c>
      <c r="F1819" s="1">
        <v>1</v>
      </c>
      <c r="G1819" s="1">
        <v>0</v>
      </c>
      <c r="J1819" s="3">
        <v>82463</v>
      </c>
      <c r="K1819">
        <v>0.52986571063984933</v>
      </c>
      <c r="L1819">
        <v>41.859391140548098</v>
      </c>
      <c r="M1819">
        <v>2640.9</v>
      </c>
    </row>
    <row r="1820" spans="1:15" x14ac:dyDescent="0.25">
      <c r="A1820" s="8" t="s">
        <v>373</v>
      </c>
      <c r="B1820" s="1" t="s">
        <v>335</v>
      </c>
      <c r="C1820" s="1">
        <v>2015</v>
      </c>
      <c r="D1820" s="1">
        <v>1</v>
      </c>
      <c r="E1820" s="1">
        <v>1</v>
      </c>
      <c r="F1820" s="1">
        <v>1</v>
      </c>
      <c r="G1820" s="1">
        <v>0</v>
      </c>
      <c r="H1820" s="2">
        <v>0.79323224023306205</v>
      </c>
      <c r="I1820" s="2">
        <v>1.1484519485995188</v>
      </c>
      <c r="J1820" s="3">
        <v>84783</v>
      </c>
      <c r="K1820">
        <v>0.52986571063984933</v>
      </c>
      <c r="L1820">
        <v>41.859391140548098</v>
      </c>
      <c r="M1820">
        <v>2715.2</v>
      </c>
    </row>
    <row r="1821" spans="1:15" x14ac:dyDescent="0.25">
      <c r="A1821" t="s">
        <v>373</v>
      </c>
      <c r="B1821" s="1" t="s">
        <v>335</v>
      </c>
      <c r="C1821" s="1">
        <v>2016</v>
      </c>
      <c r="D1821" s="1">
        <v>1</v>
      </c>
      <c r="E1821" s="1">
        <v>1</v>
      </c>
      <c r="F1821" s="1">
        <v>1</v>
      </c>
      <c r="G1821" s="1">
        <v>0</v>
      </c>
      <c r="H1821" s="2">
        <v>0.67852303523035196</v>
      </c>
      <c r="I1821" s="2">
        <v>1.0869651457088678</v>
      </c>
      <c r="J1821" s="3">
        <v>82285</v>
      </c>
      <c r="K1821">
        <v>0.52986571063984933</v>
      </c>
      <c r="L1821">
        <v>41.859391140548098</v>
      </c>
      <c r="M1821">
        <v>2784.3</v>
      </c>
      <c r="O1821" s="7"/>
    </row>
    <row r="1822" spans="1:15" x14ac:dyDescent="0.25">
      <c r="A1822" t="s">
        <v>373</v>
      </c>
      <c r="B1822" s="1" t="s">
        <v>335</v>
      </c>
      <c r="C1822" s="1">
        <v>2017</v>
      </c>
      <c r="D1822" s="1">
        <v>1</v>
      </c>
      <c r="E1822" s="1">
        <v>1</v>
      </c>
      <c r="F1822" s="1">
        <v>1</v>
      </c>
      <c r="G1822" s="1">
        <v>0</v>
      </c>
      <c r="H1822" s="12">
        <v>1.2695242230630901</v>
      </c>
      <c r="I1822" s="12">
        <v>1.0838136246355929</v>
      </c>
      <c r="J1822" s="3">
        <v>89362</v>
      </c>
      <c r="K1822">
        <v>0.52986571063984933</v>
      </c>
      <c r="L1822">
        <v>41.859391140548098</v>
      </c>
      <c r="M1822">
        <v>2861.8</v>
      </c>
    </row>
    <row r="1823" spans="1:15" x14ac:dyDescent="0.25">
      <c r="A1823" s="8" t="s">
        <v>373</v>
      </c>
      <c r="B1823" s="1" t="s">
        <v>335</v>
      </c>
      <c r="C1823" s="1">
        <v>2018</v>
      </c>
      <c r="D1823" s="1">
        <v>1</v>
      </c>
      <c r="E1823" s="1">
        <v>1</v>
      </c>
      <c r="F1823" s="1">
        <v>1</v>
      </c>
      <c r="G1823" s="1">
        <v>0</v>
      </c>
      <c r="H1823" s="12">
        <v>1.3303792761527</v>
      </c>
      <c r="I1823" s="12">
        <v>1.0919666284860152</v>
      </c>
      <c r="J1823" s="3">
        <v>91387</v>
      </c>
      <c r="K1823">
        <v>0.52986571063984933</v>
      </c>
      <c r="L1823">
        <v>41.859391140548098</v>
      </c>
      <c r="M1823">
        <v>2926.7</v>
      </c>
    </row>
    <row r="1824" spans="1:15" x14ac:dyDescent="0.25">
      <c r="A1824" s="8" t="s">
        <v>374</v>
      </c>
      <c r="B1824" s="1" t="s">
        <v>335</v>
      </c>
      <c r="C1824" s="1">
        <v>2014</v>
      </c>
      <c r="D1824" s="1">
        <v>1</v>
      </c>
      <c r="E1824" s="1">
        <v>1</v>
      </c>
      <c r="F1824" s="1">
        <v>1</v>
      </c>
      <c r="G1824" s="1">
        <v>0</v>
      </c>
      <c r="J1824" s="3">
        <v>111421</v>
      </c>
      <c r="K1824">
        <v>0.51915340847316349</v>
      </c>
      <c r="L1824">
        <v>16.958105316565796</v>
      </c>
      <c r="M1824">
        <v>1814.4</v>
      </c>
    </row>
    <row r="1825" spans="1:15" x14ac:dyDescent="0.25">
      <c r="A1825" s="8" t="s">
        <v>374</v>
      </c>
      <c r="B1825" s="1" t="s">
        <v>335</v>
      </c>
      <c r="C1825" s="1">
        <v>2015</v>
      </c>
      <c r="D1825" s="1">
        <v>1</v>
      </c>
      <c r="E1825" s="1">
        <v>1</v>
      </c>
      <c r="F1825" s="1">
        <v>1</v>
      </c>
      <c r="G1825" s="1">
        <v>0</v>
      </c>
      <c r="H1825" s="2">
        <v>1.2558496809264901</v>
      </c>
      <c r="I1825" s="2">
        <v>1.037830027584395</v>
      </c>
      <c r="J1825" s="3">
        <v>113023</v>
      </c>
      <c r="K1825">
        <v>0.51915340847316349</v>
      </c>
      <c r="L1825">
        <v>16.958105316565796</v>
      </c>
      <c r="M1825">
        <v>1840.5</v>
      </c>
    </row>
    <row r="1826" spans="1:15" x14ac:dyDescent="0.25">
      <c r="A1826" t="s">
        <v>374</v>
      </c>
      <c r="B1826" s="1" t="s">
        <v>335</v>
      </c>
      <c r="C1826" s="1">
        <v>2016</v>
      </c>
      <c r="D1826" s="1">
        <v>1</v>
      </c>
      <c r="E1826" s="1">
        <v>1</v>
      </c>
      <c r="F1826" s="1">
        <v>1</v>
      </c>
      <c r="G1826" s="1">
        <v>0</v>
      </c>
      <c r="H1826" s="2">
        <v>1.00291271721959</v>
      </c>
      <c r="I1826" s="2">
        <v>1.0881583428158508</v>
      </c>
      <c r="J1826" s="3">
        <v>110372</v>
      </c>
      <c r="K1826">
        <v>0.51915340847316349</v>
      </c>
      <c r="L1826">
        <v>16.958105316565796</v>
      </c>
      <c r="M1826">
        <v>1869.4</v>
      </c>
      <c r="O1826" s="7"/>
    </row>
    <row r="1827" spans="1:15" x14ac:dyDescent="0.25">
      <c r="A1827" t="s">
        <v>374</v>
      </c>
      <c r="B1827" s="1" t="s">
        <v>335</v>
      </c>
      <c r="C1827" s="1">
        <v>2017</v>
      </c>
      <c r="D1827" s="1">
        <v>1</v>
      </c>
      <c r="E1827" s="1">
        <v>1</v>
      </c>
      <c r="F1827" s="1">
        <v>1</v>
      </c>
      <c r="G1827" s="1">
        <v>0</v>
      </c>
      <c r="H1827" s="12">
        <v>0.92411992165921797</v>
      </c>
      <c r="I1827" s="12">
        <v>1.0147950916448851</v>
      </c>
      <c r="J1827" s="3">
        <v>116321</v>
      </c>
      <c r="K1827">
        <v>0.51915340847316349</v>
      </c>
      <c r="L1827">
        <v>16.958105316565796</v>
      </c>
      <c r="M1827">
        <v>1894.2</v>
      </c>
    </row>
    <row r="1828" spans="1:15" x14ac:dyDescent="0.25">
      <c r="A1828" s="8" t="s">
        <v>374</v>
      </c>
      <c r="B1828" s="1" t="s">
        <v>335</v>
      </c>
      <c r="C1828" s="1">
        <v>2018</v>
      </c>
      <c r="D1828" s="1">
        <v>1</v>
      </c>
      <c r="E1828" s="1">
        <v>1</v>
      </c>
      <c r="F1828" s="1">
        <v>1</v>
      </c>
      <c r="G1828" s="1">
        <v>0</v>
      </c>
      <c r="H1828" s="12">
        <v>0.94254159774253199</v>
      </c>
      <c r="I1828" s="12">
        <v>1.0250536864710094</v>
      </c>
      <c r="J1828" s="3">
        <v>117498</v>
      </c>
      <c r="K1828">
        <v>0.51915340847316349</v>
      </c>
      <c r="L1828">
        <v>16.958105316565796</v>
      </c>
      <c r="M1828">
        <v>1913.3</v>
      </c>
    </row>
    <row r="1829" spans="1:15" x14ac:dyDescent="0.25">
      <c r="A1829" s="8" t="s">
        <v>375</v>
      </c>
      <c r="B1829" s="1" t="s">
        <v>335</v>
      </c>
      <c r="C1829" s="1">
        <v>2014</v>
      </c>
      <c r="D1829" s="1">
        <v>1</v>
      </c>
      <c r="E1829" s="1">
        <v>1</v>
      </c>
      <c r="F1829" s="1">
        <v>1</v>
      </c>
      <c r="G1829" s="1">
        <v>0</v>
      </c>
      <c r="J1829" s="3">
        <v>127975</v>
      </c>
      <c r="K1829">
        <v>0.3</v>
      </c>
      <c r="L1829">
        <v>48.1</v>
      </c>
      <c r="M1829">
        <v>3426.3</v>
      </c>
    </row>
    <row r="1830" spans="1:15" x14ac:dyDescent="0.25">
      <c r="A1830" s="8" t="s">
        <v>375</v>
      </c>
      <c r="B1830" s="1" t="s">
        <v>335</v>
      </c>
      <c r="C1830" s="1">
        <v>2015</v>
      </c>
      <c r="D1830" s="1">
        <v>1</v>
      </c>
      <c r="E1830" s="1">
        <v>1</v>
      </c>
      <c r="F1830" s="1">
        <v>1</v>
      </c>
      <c r="G1830" s="1">
        <v>0</v>
      </c>
      <c r="H1830" s="2">
        <v>0.73535152653482105</v>
      </c>
      <c r="I1830" s="2">
        <v>1.0665137639103348</v>
      </c>
      <c r="J1830" s="3">
        <v>136872</v>
      </c>
      <c r="K1830">
        <v>0.3</v>
      </c>
      <c r="L1830">
        <v>48.1</v>
      </c>
      <c r="M1830">
        <v>3664.5</v>
      </c>
    </row>
    <row r="1831" spans="1:15" x14ac:dyDescent="0.25">
      <c r="A1831" t="s">
        <v>375</v>
      </c>
      <c r="B1831" s="1" t="s">
        <v>335</v>
      </c>
      <c r="C1831" s="1">
        <v>2016</v>
      </c>
      <c r="D1831" s="1">
        <v>1</v>
      </c>
      <c r="E1831" s="1">
        <v>1</v>
      </c>
      <c r="F1831" s="1">
        <v>1</v>
      </c>
      <c r="G1831" s="1">
        <v>0</v>
      </c>
      <c r="H1831" s="12">
        <v>1.0101861381866399</v>
      </c>
      <c r="I1831" s="12">
        <v>1.0386455781836843</v>
      </c>
      <c r="J1831" s="3">
        <v>146096</v>
      </c>
      <c r="K1831" s="11">
        <v>0.3</v>
      </c>
      <c r="L1831" s="11">
        <v>48.1</v>
      </c>
      <c r="M1831">
        <v>3911.4</v>
      </c>
      <c r="O1831" s="7"/>
    </row>
    <row r="1832" spans="1:15" x14ac:dyDescent="0.25">
      <c r="A1832" t="s">
        <v>375</v>
      </c>
      <c r="B1832" s="1" t="s">
        <v>335</v>
      </c>
      <c r="C1832" s="1">
        <v>2017</v>
      </c>
      <c r="D1832" s="1">
        <v>1</v>
      </c>
      <c r="E1832" s="1">
        <v>1</v>
      </c>
      <c r="F1832" s="1">
        <v>1</v>
      </c>
      <c r="G1832" s="1">
        <v>0</v>
      </c>
      <c r="H1832" s="12">
        <v>0.90430979590355198</v>
      </c>
      <c r="I1832" s="12">
        <v>1.0303297885651186</v>
      </c>
      <c r="J1832" s="3">
        <v>159141</v>
      </c>
      <c r="K1832">
        <v>0.3</v>
      </c>
      <c r="L1832">
        <v>48.1</v>
      </c>
      <c r="M1832">
        <v>4260.7</v>
      </c>
    </row>
    <row r="1833" spans="1:15" x14ac:dyDescent="0.25">
      <c r="A1833" s="8" t="s">
        <v>375</v>
      </c>
      <c r="B1833" s="1" t="s">
        <v>335</v>
      </c>
      <c r="C1833" s="1">
        <v>2018</v>
      </c>
      <c r="D1833" s="1">
        <v>1</v>
      </c>
      <c r="E1833" s="1">
        <v>1</v>
      </c>
      <c r="F1833" s="1">
        <v>1</v>
      </c>
      <c r="G1833" s="1">
        <v>0</v>
      </c>
      <c r="H1833" s="12">
        <v>0.90365651290262605</v>
      </c>
      <c r="I1833" s="12">
        <v>1.0451184564944482</v>
      </c>
      <c r="J1833" s="3">
        <v>169961</v>
      </c>
      <c r="K1833">
        <v>0.3</v>
      </c>
      <c r="L1833">
        <v>48.1</v>
      </c>
      <c r="M1833">
        <v>4550.3</v>
      </c>
    </row>
    <row r="1834" spans="1:15" x14ac:dyDescent="0.25">
      <c r="A1834" s="8" t="s">
        <v>376</v>
      </c>
      <c r="B1834" s="1" t="s">
        <v>335</v>
      </c>
      <c r="C1834" s="1">
        <v>2014</v>
      </c>
      <c r="D1834" s="1">
        <v>1</v>
      </c>
      <c r="E1834" s="1">
        <v>2</v>
      </c>
      <c r="F1834" s="1">
        <v>1.5</v>
      </c>
      <c r="G1834" s="1">
        <v>1</v>
      </c>
      <c r="J1834" s="3">
        <v>129309</v>
      </c>
      <c r="K1834">
        <v>0.95538344543461085</v>
      </c>
      <c r="L1834">
        <v>32.167775374142629</v>
      </c>
      <c r="M1834">
        <v>245.1</v>
      </c>
    </row>
    <row r="1835" spans="1:15" x14ac:dyDescent="0.25">
      <c r="A1835" s="8" t="s">
        <v>376</v>
      </c>
      <c r="B1835" s="1" t="s">
        <v>335</v>
      </c>
      <c r="C1835" s="1">
        <v>2015</v>
      </c>
      <c r="D1835" s="1">
        <v>1</v>
      </c>
      <c r="E1835" s="1">
        <v>2</v>
      </c>
      <c r="F1835" s="1">
        <v>1.5</v>
      </c>
      <c r="G1835" s="1">
        <v>1</v>
      </c>
      <c r="H1835" s="2">
        <v>0.234709078163337</v>
      </c>
      <c r="I1835" s="2">
        <v>1.0285892148470936</v>
      </c>
      <c r="J1835" s="3">
        <v>134915</v>
      </c>
      <c r="K1835">
        <v>0.95538344543461085</v>
      </c>
      <c r="L1835">
        <v>32.167775374142629</v>
      </c>
      <c r="M1835">
        <v>255.7</v>
      </c>
    </row>
    <row r="1836" spans="1:15" x14ac:dyDescent="0.25">
      <c r="A1836" t="s">
        <v>376</v>
      </c>
      <c r="B1836" s="1" t="s">
        <v>335</v>
      </c>
      <c r="C1836" s="1">
        <v>2016</v>
      </c>
      <c r="D1836" s="1">
        <v>1</v>
      </c>
      <c r="E1836" s="1">
        <v>2</v>
      </c>
      <c r="F1836" s="1">
        <v>1.5</v>
      </c>
      <c r="G1836" s="1">
        <v>1</v>
      </c>
      <c r="H1836" s="2">
        <v>0.42353024708889497</v>
      </c>
      <c r="I1836" s="2">
        <v>1.1585742411580566</v>
      </c>
      <c r="J1836" s="6">
        <v>135443</v>
      </c>
      <c r="K1836" s="7">
        <v>0.95538344543461085</v>
      </c>
      <c r="L1836" s="7">
        <v>32.167775374142629</v>
      </c>
      <c r="M1836">
        <v>268.10000000000002</v>
      </c>
      <c r="O1836" s="7"/>
    </row>
    <row r="1837" spans="1:15" x14ac:dyDescent="0.25">
      <c r="A1837" t="s">
        <v>376</v>
      </c>
      <c r="B1837" s="1" t="s">
        <v>335</v>
      </c>
      <c r="C1837" s="1">
        <v>2017</v>
      </c>
      <c r="D1837" s="1">
        <v>1</v>
      </c>
      <c r="E1837" s="1">
        <v>2</v>
      </c>
      <c r="F1837" s="1">
        <v>1.5</v>
      </c>
      <c r="G1837" s="1">
        <v>1</v>
      </c>
      <c r="H1837" s="12">
        <v>0.47579737335834899</v>
      </c>
      <c r="I1837" s="12">
        <v>1.0458157947859115</v>
      </c>
      <c r="J1837" s="3">
        <v>148618</v>
      </c>
      <c r="K1837">
        <v>0.95538344543461085</v>
      </c>
      <c r="L1837">
        <v>32.167775374142629</v>
      </c>
      <c r="M1837">
        <v>281.7</v>
      </c>
    </row>
    <row r="1838" spans="1:15" x14ac:dyDescent="0.25">
      <c r="A1838" s="8" t="s">
        <v>376</v>
      </c>
      <c r="B1838" s="1" t="s">
        <v>335</v>
      </c>
      <c r="C1838" s="1">
        <v>2018</v>
      </c>
      <c r="D1838" s="1">
        <v>1</v>
      </c>
      <c r="E1838" s="1">
        <v>2</v>
      </c>
      <c r="F1838" s="1">
        <v>1.5</v>
      </c>
      <c r="G1838" s="1">
        <v>1</v>
      </c>
      <c r="H1838" s="12">
        <v>0.35476916819198701</v>
      </c>
      <c r="I1838" s="12">
        <v>1.0656699944815131</v>
      </c>
      <c r="J1838" s="3">
        <v>156713</v>
      </c>
      <c r="K1838">
        <v>0.95538344543461085</v>
      </c>
      <c r="L1838">
        <v>32.167775374142629</v>
      </c>
      <c r="M1838">
        <v>297.10000000000002</v>
      </c>
    </row>
    <row r="1839" spans="1:15" x14ac:dyDescent="0.25">
      <c r="A1839" s="8" t="s">
        <v>377</v>
      </c>
      <c r="B1839" s="1" t="s">
        <v>335</v>
      </c>
      <c r="C1839" s="1">
        <v>2014</v>
      </c>
      <c r="D1839" s="1">
        <v>3</v>
      </c>
      <c r="E1839" s="1">
        <v>4</v>
      </c>
      <c r="F1839" s="1">
        <v>3.5</v>
      </c>
      <c r="G1839" s="1">
        <v>1</v>
      </c>
      <c r="J1839" s="3">
        <v>53737</v>
      </c>
      <c r="K1839">
        <v>3.8308771669326993</v>
      </c>
      <c r="L1839">
        <v>9.5103752923271099</v>
      </c>
      <c r="M1839">
        <v>2.4</v>
      </c>
    </row>
    <row r="1840" spans="1:15" x14ac:dyDescent="0.25">
      <c r="A1840" s="8" t="s">
        <v>377</v>
      </c>
      <c r="B1840" s="1" t="s">
        <v>335</v>
      </c>
      <c r="C1840" s="1">
        <v>2015</v>
      </c>
      <c r="D1840" s="1">
        <v>3</v>
      </c>
      <c r="E1840" s="1">
        <v>4</v>
      </c>
      <c r="F1840" s="1">
        <v>3.5</v>
      </c>
      <c r="G1840" s="1">
        <v>1</v>
      </c>
      <c r="H1840" s="2">
        <v>0.79673878958921296</v>
      </c>
      <c r="I1840" s="2">
        <v>1.1051985535613575</v>
      </c>
      <c r="J1840" s="3">
        <v>54156</v>
      </c>
      <c r="K1840">
        <v>3.8308771669326993</v>
      </c>
      <c r="L1840">
        <v>9.5103752923271099</v>
      </c>
      <c r="M1840">
        <v>2.5</v>
      </c>
    </row>
    <row r="1841" spans="1:15" x14ac:dyDescent="0.25">
      <c r="A1841" t="s">
        <v>377</v>
      </c>
      <c r="B1841" s="1" t="s">
        <v>335</v>
      </c>
      <c r="C1841" s="1">
        <v>2016</v>
      </c>
      <c r="D1841" s="1">
        <v>3</v>
      </c>
      <c r="E1841" s="1">
        <v>4</v>
      </c>
      <c r="F1841" s="1">
        <v>3.5</v>
      </c>
      <c r="G1841" s="1">
        <v>1</v>
      </c>
      <c r="H1841" s="2">
        <v>0.80688630696588703</v>
      </c>
      <c r="I1841" s="2">
        <v>1.1215261948401138</v>
      </c>
      <c r="J1841" s="6">
        <v>53878</v>
      </c>
      <c r="K1841" s="7">
        <v>3.8308771669326993</v>
      </c>
      <c r="L1841" s="7">
        <v>9.5103752923271099</v>
      </c>
      <c r="M1841">
        <v>2.5</v>
      </c>
      <c r="O1841" s="7"/>
    </row>
    <row r="1842" spans="1:15" x14ac:dyDescent="0.25">
      <c r="A1842" t="s">
        <v>377</v>
      </c>
      <c r="B1842" s="1" t="s">
        <v>335</v>
      </c>
      <c r="C1842" s="1">
        <v>2017</v>
      </c>
      <c r="D1842" s="1">
        <v>3</v>
      </c>
      <c r="E1842" s="1">
        <v>4</v>
      </c>
      <c r="F1842" s="1">
        <v>3.5</v>
      </c>
      <c r="G1842" s="1">
        <v>1</v>
      </c>
      <c r="H1842" s="12">
        <v>0.87807046793375598</v>
      </c>
      <c r="I1842" s="12">
        <v>1.0303059031727975</v>
      </c>
      <c r="J1842" s="3">
        <v>55142</v>
      </c>
      <c r="K1842">
        <v>3.8308771669326993</v>
      </c>
      <c r="L1842">
        <v>9.5103752923271099</v>
      </c>
      <c r="M1842">
        <v>2.5</v>
      </c>
    </row>
    <row r="1843" spans="1:15" x14ac:dyDescent="0.25">
      <c r="A1843" s="8" t="s">
        <v>377</v>
      </c>
      <c r="B1843" s="1" t="s">
        <v>335</v>
      </c>
      <c r="C1843" s="1">
        <v>2018</v>
      </c>
      <c r="D1843" s="1">
        <v>3</v>
      </c>
      <c r="E1843" s="1">
        <v>4</v>
      </c>
      <c r="F1843" s="1">
        <v>3.5</v>
      </c>
      <c r="G1843" s="1">
        <v>1</v>
      </c>
      <c r="H1843" s="12">
        <v>0.87801572241799897</v>
      </c>
      <c r="I1843" s="12">
        <v>1.0272234891676169</v>
      </c>
      <c r="J1843" s="3">
        <v>55515</v>
      </c>
      <c r="K1843">
        <v>3.8308771669326993</v>
      </c>
      <c r="L1843">
        <v>9.5103752923271099</v>
      </c>
      <c r="M1843">
        <v>2.5</v>
      </c>
    </row>
    <row r="1844" spans="1:15" x14ac:dyDescent="0.25">
      <c r="A1844" s="8" t="s">
        <v>378</v>
      </c>
      <c r="B1844" s="1" t="s">
        <v>335</v>
      </c>
      <c r="C1844" s="1">
        <v>2014</v>
      </c>
      <c r="D1844" s="1">
        <v>1</v>
      </c>
      <c r="E1844" s="1">
        <v>2</v>
      </c>
      <c r="F1844" s="1">
        <v>1.5</v>
      </c>
      <c r="G1844" s="1">
        <v>1</v>
      </c>
      <c r="J1844" s="3">
        <v>39084</v>
      </c>
      <c r="K1844">
        <v>1.5788444618242252</v>
      </c>
      <c r="L1844">
        <v>7.2123374718936359</v>
      </c>
      <c r="M1844">
        <v>13.7</v>
      </c>
    </row>
    <row r="1845" spans="1:15" x14ac:dyDescent="0.25">
      <c r="A1845" s="8" t="s">
        <v>378</v>
      </c>
      <c r="B1845" s="1" t="s">
        <v>335</v>
      </c>
      <c r="C1845" s="1">
        <v>2015</v>
      </c>
      <c r="D1845" s="1">
        <v>1</v>
      </c>
      <c r="E1845" s="1">
        <v>2</v>
      </c>
      <c r="F1845" s="1">
        <v>1.5</v>
      </c>
      <c r="G1845" s="1">
        <v>1</v>
      </c>
      <c r="H1845" s="2">
        <v>0.52823758519961095</v>
      </c>
      <c r="I1845" s="2">
        <v>1.0179204303811271</v>
      </c>
      <c r="J1845" s="3">
        <v>40264</v>
      </c>
      <c r="K1845">
        <v>1.5788444618242252</v>
      </c>
      <c r="L1845">
        <v>7.2123374718936359</v>
      </c>
      <c r="M1845">
        <v>14.1</v>
      </c>
    </row>
    <row r="1846" spans="1:15" x14ac:dyDescent="0.25">
      <c r="A1846" t="s">
        <v>378</v>
      </c>
      <c r="B1846" s="1" t="s">
        <v>335</v>
      </c>
      <c r="C1846" s="1">
        <v>2016</v>
      </c>
      <c r="D1846" s="1">
        <v>1</v>
      </c>
      <c r="E1846" s="1">
        <v>2</v>
      </c>
      <c r="F1846" s="1">
        <v>1.5</v>
      </c>
      <c r="G1846" s="1">
        <v>1</v>
      </c>
      <c r="H1846" s="2">
        <v>0.53488748583454704</v>
      </c>
      <c r="I1846" s="2">
        <v>1.1387743289197596</v>
      </c>
      <c r="J1846" s="6">
        <v>40916</v>
      </c>
      <c r="K1846" s="7">
        <v>1.5788444618242252</v>
      </c>
      <c r="L1846" s="7">
        <v>7.2123374718936359</v>
      </c>
      <c r="M1846">
        <v>14.6</v>
      </c>
      <c r="O1846" s="7"/>
    </row>
    <row r="1847" spans="1:15" x14ac:dyDescent="0.25">
      <c r="A1847" t="s">
        <v>378</v>
      </c>
      <c r="B1847" s="1" t="s">
        <v>335</v>
      </c>
      <c r="C1847" s="1">
        <v>2017</v>
      </c>
      <c r="D1847" s="1">
        <v>1</v>
      </c>
      <c r="E1847" s="1">
        <v>2</v>
      </c>
      <c r="F1847" s="1">
        <v>1.5</v>
      </c>
      <c r="G1847" s="1">
        <v>1</v>
      </c>
      <c r="H1847" s="12">
        <v>0.33227142402038901</v>
      </c>
      <c r="I1847" s="12">
        <v>0.93066330814441645</v>
      </c>
      <c r="J1847" s="3">
        <v>42903</v>
      </c>
      <c r="K1847">
        <v>1.5788444618242252</v>
      </c>
      <c r="L1847">
        <v>7.2123374718936359</v>
      </c>
      <c r="M1847">
        <v>15</v>
      </c>
    </row>
    <row r="1848" spans="1:15" x14ac:dyDescent="0.25">
      <c r="A1848" s="8" t="s">
        <v>378</v>
      </c>
      <c r="B1848" s="1" t="s">
        <v>335</v>
      </c>
      <c r="C1848" s="1">
        <v>2018</v>
      </c>
      <c r="D1848" s="1">
        <v>1</v>
      </c>
      <c r="E1848" s="1">
        <v>2</v>
      </c>
      <c r="F1848" s="1">
        <v>1.5</v>
      </c>
      <c r="G1848" s="1">
        <v>1</v>
      </c>
      <c r="H1848" s="12">
        <v>0.32632812500000002</v>
      </c>
      <c r="I1848" s="12">
        <v>0.92335603081742901</v>
      </c>
      <c r="J1848" s="3">
        <v>44299</v>
      </c>
      <c r="K1848">
        <v>1.5788444618242252</v>
      </c>
      <c r="L1848">
        <v>7.2123374718936359</v>
      </c>
      <c r="M1848">
        <v>15.5</v>
      </c>
    </row>
    <row r="1849" spans="1:15" x14ac:dyDescent="0.25">
      <c r="A1849" s="8" t="s">
        <v>379</v>
      </c>
      <c r="B1849" s="1" t="s">
        <v>335</v>
      </c>
      <c r="C1849" s="1">
        <v>2014</v>
      </c>
      <c r="D1849" s="1">
        <v>2</v>
      </c>
      <c r="E1849" s="1">
        <v>3</v>
      </c>
      <c r="F1849" s="1">
        <v>2.5</v>
      </c>
      <c r="G1849" s="1">
        <v>1</v>
      </c>
      <c r="J1849" s="3">
        <v>29100</v>
      </c>
      <c r="K1849">
        <v>1.7005634189913428</v>
      </c>
      <c r="L1849">
        <v>4.6069808987220009</v>
      </c>
      <c r="M1849">
        <v>7.2</v>
      </c>
    </row>
    <row r="1850" spans="1:15" x14ac:dyDescent="0.25">
      <c r="A1850" s="8" t="s">
        <v>379</v>
      </c>
      <c r="B1850" s="1" t="s">
        <v>335</v>
      </c>
      <c r="C1850" s="1">
        <v>2015</v>
      </c>
      <c r="D1850" s="1">
        <v>2</v>
      </c>
      <c r="E1850" s="1">
        <v>3</v>
      </c>
      <c r="F1850" s="1">
        <v>2.5</v>
      </c>
      <c r="G1850" s="1">
        <v>1</v>
      </c>
      <c r="H1850" s="2">
        <v>0.65140305860369796</v>
      </c>
      <c r="I1850" s="2">
        <v>0.99141626791145976</v>
      </c>
      <c r="J1850" s="3">
        <v>29288</v>
      </c>
      <c r="K1850">
        <v>1.7005634189913428</v>
      </c>
      <c r="L1850">
        <v>4.6069808987220009</v>
      </c>
      <c r="M1850">
        <v>7.2</v>
      </c>
    </row>
    <row r="1851" spans="1:15" x14ac:dyDescent="0.25">
      <c r="A1851" t="s">
        <v>379</v>
      </c>
      <c r="B1851" s="1" t="s">
        <v>335</v>
      </c>
      <c r="C1851" s="1">
        <v>2016</v>
      </c>
      <c r="D1851" s="1">
        <v>2</v>
      </c>
      <c r="E1851" s="1">
        <v>3</v>
      </c>
      <c r="F1851" s="1">
        <v>2.5</v>
      </c>
      <c r="G1851" s="1">
        <v>1</v>
      </c>
      <c r="H1851" s="2">
        <v>0.89947242206235001</v>
      </c>
      <c r="I1851" s="2">
        <v>1.166893777726433</v>
      </c>
      <c r="J1851" s="6">
        <v>29108</v>
      </c>
      <c r="K1851" s="7">
        <v>1.7005634189913428</v>
      </c>
      <c r="L1851" s="7">
        <v>4.6069808987220009</v>
      </c>
      <c r="M1851">
        <v>7.3</v>
      </c>
      <c r="O1851" s="7"/>
    </row>
    <row r="1852" spans="1:15" x14ac:dyDescent="0.25">
      <c r="A1852" t="s">
        <v>379</v>
      </c>
      <c r="B1852" s="1" t="s">
        <v>335</v>
      </c>
      <c r="C1852" s="1">
        <v>2017</v>
      </c>
      <c r="D1852" s="1">
        <v>2</v>
      </c>
      <c r="E1852" s="1">
        <v>3</v>
      </c>
      <c r="F1852" s="1">
        <v>2.5</v>
      </c>
      <c r="G1852" s="1">
        <v>1</v>
      </c>
      <c r="H1852" s="12">
        <v>0.74356189714847898</v>
      </c>
      <c r="I1852" s="12">
        <v>0.9720062944884531</v>
      </c>
      <c r="J1852" s="3">
        <v>29652</v>
      </c>
      <c r="K1852">
        <v>1.7005634189913428</v>
      </c>
      <c r="L1852">
        <v>4.6069808987220009</v>
      </c>
      <c r="M1852">
        <v>7.3</v>
      </c>
    </row>
    <row r="1853" spans="1:15" x14ac:dyDescent="0.25">
      <c r="A1853" s="8" t="s">
        <v>379</v>
      </c>
      <c r="B1853" s="1" t="s">
        <v>335</v>
      </c>
      <c r="C1853" s="1">
        <v>2018</v>
      </c>
      <c r="D1853" s="1">
        <v>2</v>
      </c>
      <c r="E1853" s="1">
        <v>3</v>
      </c>
      <c r="F1853" s="1">
        <v>2.5</v>
      </c>
      <c r="G1853" s="1">
        <v>1</v>
      </c>
      <c r="H1853" s="12">
        <v>0.82812577200440796</v>
      </c>
      <c r="I1853" s="12">
        <v>0.97579859869029217</v>
      </c>
      <c r="J1853" s="3">
        <v>29799</v>
      </c>
      <c r="K1853">
        <v>1.7005634189913428</v>
      </c>
      <c r="L1853">
        <v>4.6069808987220009</v>
      </c>
      <c r="M1853">
        <v>7.4</v>
      </c>
    </row>
    <row r="1854" spans="1:15" x14ac:dyDescent="0.25">
      <c r="A1854" s="8" t="s">
        <v>380</v>
      </c>
      <c r="B1854" s="1" t="s">
        <v>335</v>
      </c>
      <c r="C1854" s="1">
        <v>2014</v>
      </c>
      <c r="D1854" s="1">
        <v>1</v>
      </c>
      <c r="E1854" s="1">
        <v>1</v>
      </c>
      <c r="F1854" s="1">
        <v>1</v>
      </c>
      <c r="G1854" s="1">
        <v>0</v>
      </c>
      <c r="J1854" s="3">
        <v>186150</v>
      </c>
      <c r="K1854">
        <v>0.22670397608108775</v>
      </c>
      <c r="L1854">
        <v>50.133339174337543</v>
      </c>
      <c r="M1854">
        <v>2284.5</v>
      </c>
    </row>
    <row r="1855" spans="1:15" x14ac:dyDescent="0.25">
      <c r="A1855" s="8" t="s">
        <v>380</v>
      </c>
      <c r="B1855" s="1" t="s">
        <v>335</v>
      </c>
      <c r="C1855" s="1">
        <v>2015</v>
      </c>
      <c r="D1855" s="1">
        <v>1</v>
      </c>
      <c r="E1855" s="1">
        <v>1</v>
      </c>
      <c r="F1855" s="1">
        <v>1</v>
      </c>
      <c r="G1855" s="1">
        <v>0</v>
      </c>
      <c r="H1855" s="2">
        <v>0.66421578264459602</v>
      </c>
      <c r="I1855" s="2">
        <v>1.0489467176920813</v>
      </c>
      <c r="J1855" s="3">
        <v>189174</v>
      </c>
      <c r="K1855">
        <v>0.22670397608108775</v>
      </c>
      <c r="L1855">
        <v>50.133339174337543</v>
      </c>
      <c r="M1855">
        <v>2321.6</v>
      </c>
    </row>
    <row r="1856" spans="1:15" x14ac:dyDescent="0.25">
      <c r="A1856" t="s">
        <v>380</v>
      </c>
      <c r="B1856" s="1" t="s">
        <v>335</v>
      </c>
      <c r="C1856" s="1">
        <v>2016</v>
      </c>
      <c r="D1856" s="1">
        <v>1</v>
      </c>
      <c r="E1856" s="1">
        <v>1</v>
      </c>
      <c r="F1856" s="1">
        <v>1</v>
      </c>
      <c r="G1856" s="1">
        <v>0</v>
      </c>
      <c r="H1856" s="2">
        <v>0.91575764534772497</v>
      </c>
      <c r="I1856" s="2">
        <v>1.1308734227620019</v>
      </c>
      <c r="J1856" s="6">
        <v>182617</v>
      </c>
      <c r="K1856" s="7">
        <v>0.22670397608108775</v>
      </c>
      <c r="L1856" s="7">
        <v>50.133339174337543</v>
      </c>
      <c r="M1856">
        <v>2364</v>
      </c>
      <c r="O1856" s="7"/>
    </row>
    <row r="1857" spans="1:15" x14ac:dyDescent="0.25">
      <c r="A1857" t="s">
        <v>380</v>
      </c>
      <c r="B1857" s="1" t="s">
        <v>335</v>
      </c>
      <c r="C1857" s="1">
        <v>2017</v>
      </c>
      <c r="D1857" s="1">
        <v>1</v>
      </c>
      <c r="E1857" s="1">
        <v>1</v>
      </c>
      <c r="F1857" s="1">
        <v>1</v>
      </c>
      <c r="G1857" s="1">
        <v>0</v>
      </c>
      <c r="H1857" s="12">
        <v>0.67822209436133496</v>
      </c>
      <c r="I1857" s="12">
        <v>1.0597297372273635</v>
      </c>
      <c r="J1857" s="3">
        <v>196922</v>
      </c>
      <c r="K1857">
        <v>0.22670397608108775</v>
      </c>
      <c r="L1857">
        <v>50.133339174337543</v>
      </c>
      <c r="M1857">
        <v>2416.6999999999998</v>
      </c>
    </row>
    <row r="1858" spans="1:15" x14ac:dyDescent="0.25">
      <c r="A1858" s="8" t="s">
        <v>380</v>
      </c>
      <c r="B1858" s="1" t="s">
        <v>335</v>
      </c>
      <c r="C1858" s="1">
        <v>2018</v>
      </c>
      <c r="D1858" s="1">
        <v>1</v>
      </c>
      <c r="E1858" s="1">
        <v>1</v>
      </c>
      <c r="F1858" s="1">
        <v>1</v>
      </c>
      <c r="G1858" s="1">
        <v>0</v>
      </c>
      <c r="H1858" s="12">
        <v>0.668392691254178</v>
      </c>
      <c r="I1858" s="12">
        <v>1.0590657785378133</v>
      </c>
      <c r="J1858" s="3">
        <v>200077</v>
      </c>
      <c r="K1858">
        <v>0.22670397608108775</v>
      </c>
      <c r="L1858">
        <v>50.133339174337543</v>
      </c>
      <c r="M1858">
        <v>2455.4</v>
      </c>
    </row>
    <row r="1859" spans="1:15" x14ac:dyDescent="0.25">
      <c r="A1859" s="8" t="s">
        <v>381</v>
      </c>
      <c r="B1859" s="1" t="s">
        <v>335</v>
      </c>
      <c r="C1859" s="1">
        <v>2014</v>
      </c>
      <c r="D1859" s="1">
        <v>1</v>
      </c>
      <c r="E1859" s="1">
        <v>1</v>
      </c>
      <c r="F1859" s="1">
        <v>1</v>
      </c>
      <c r="G1859" s="1">
        <v>0</v>
      </c>
      <c r="J1859" s="3">
        <v>117763</v>
      </c>
      <c r="K1859">
        <v>0.36683408471467505</v>
      </c>
      <c r="L1859">
        <v>29.750415688156746</v>
      </c>
      <c r="M1859">
        <v>2729.9</v>
      </c>
    </row>
    <row r="1860" spans="1:15" x14ac:dyDescent="0.25">
      <c r="A1860" s="8" t="s">
        <v>381</v>
      </c>
      <c r="B1860" s="1" t="s">
        <v>335</v>
      </c>
      <c r="C1860" s="1">
        <v>2015</v>
      </c>
      <c r="D1860" s="1">
        <v>1</v>
      </c>
      <c r="E1860" s="1">
        <v>1</v>
      </c>
      <c r="F1860" s="1">
        <v>1</v>
      </c>
      <c r="G1860" s="1">
        <v>0</v>
      </c>
      <c r="H1860" s="2">
        <v>0.50230180233243005</v>
      </c>
      <c r="I1860" s="2">
        <v>1.1073658122189403</v>
      </c>
      <c r="J1860" s="3">
        <v>120231</v>
      </c>
      <c r="K1860">
        <v>0.36683408471467505</v>
      </c>
      <c r="L1860">
        <v>29.750415688156746</v>
      </c>
      <c r="M1860">
        <v>2787.1</v>
      </c>
    </row>
    <row r="1861" spans="1:15" x14ac:dyDescent="0.25">
      <c r="A1861" t="s">
        <v>381</v>
      </c>
      <c r="B1861" s="1" t="s">
        <v>335</v>
      </c>
      <c r="C1861" s="1">
        <v>2016</v>
      </c>
      <c r="D1861" s="1">
        <v>1</v>
      </c>
      <c r="E1861" s="1">
        <v>1</v>
      </c>
      <c r="F1861" s="1">
        <v>1</v>
      </c>
      <c r="G1861" s="1">
        <v>0</v>
      </c>
      <c r="H1861" s="2">
        <v>0.51024320771253295</v>
      </c>
      <c r="I1861" s="2">
        <v>1.1127882717000159</v>
      </c>
      <c r="J1861" s="6">
        <v>116674</v>
      </c>
      <c r="K1861" s="7">
        <v>0.36683408471467505</v>
      </c>
      <c r="L1861" s="7">
        <v>29.750415688156746</v>
      </c>
      <c r="M1861">
        <v>2848.3</v>
      </c>
      <c r="O1861" s="7"/>
    </row>
    <row r="1862" spans="1:15" x14ac:dyDescent="0.25">
      <c r="A1862" t="s">
        <v>381</v>
      </c>
      <c r="B1862" s="1" t="s">
        <v>335</v>
      </c>
      <c r="C1862" s="1">
        <v>2017</v>
      </c>
      <c r="D1862" s="1">
        <v>1</v>
      </c>
      <c r="E1862" s="1">
        <v>1</v>
      </c>
      <c r="F1862" s="1">
        <v>1</v>
      </c>
      <c r="G1862" s="1">
        <v>0</v>
      </c>
      <c r="H1862" s="12">
        <v>0.56661905733523799</v>
      </c>
      <c r="I1862" s="12">
        <v>1.063414703559562</v>
      </c>
      <c r="J1862" s="3">
        <v>125411</v>
      </c>
      <c r="K1862">
        <v>0.36683408471467505</v>
      </c>
      <c r="L1862">
        <v>29.750415688156746</v>
      </c>
      <c r="M1862">
        <v>2907.2</v>
      </c>
    </row>
    <row r="1863" spans="1:15" x14ac:dyDescent="0.25">
      <c r="A1863" s="8" t="s">
        <v>381</v>
      </c>
      <c r="B1863" s="1" t="s">
        <v>335</v>
      </c>
      <c r="C1863" s="1">
        <v>2018</v>
      </c>
      <c r="D1863" s="1">
        <v>1</v>
      </c>
      <c r="E1863" s="1">
        <v>1</v>
      </c>
      <c r="F1863" s="1">
        <v>1</v>
      </c>
      <c r="G1863" s="1">
        <v>0</v>
      </c>
      <c r="H1863" s="12">
        <v>0.55385143081144605</v>
      </c>
      <c r="I1863" s="12">
        <v>1.069535011693493</v>
      </c>
      <c r="J1863" s="3">
        <v>127883</v>
      </c>
      <c r="K1863">
        <v>0.36683408471467505</v>
      </c>
      <c r="L1863">
        <v>29.750415688156746</v>
      </c>
      <c r="M1863">
        <v>2964.5</v>
      </c>
    </row>
    <row r="1864" spans="1:15" x14ac:dyDescent="0.25">
      <c r="A1864" s="8" t="s">
        <v>382</v>
      </c>
      <c r="B1864" s="1" t="s">
        <v>335</v>
      </c>
      <c r="C1864" s="1">
        <v>2014</v>
      </c>
      <c r="D1864" s="1">
        <v>1</v>
      </c>
      <c r="E1864" s="1">
        <v>2</v>
      </c>
      <c r="F1864" s="1">
        <v>1.5</v>
      </c>
      <c r="G1864" s="1">
        <v>1</v>
      </c>
      <c r="J1864" s="3">
        <v>31066</v>
      </c>
      <c r="K1864">
        <v>1.1659333752357008</v>
      </c>
      <c r="L1864">
        <v>5.267127592708988</v>
      </c>
      <c r="M1864">
        <v>14.7</v>
      </c>
    </row>
    <row r="1865" spans="1:15" x14ac:dyDescent="0.25">
      <c r="A1865" s="8" t="s">
        <v>382</v>
      </c>
      <c r="B1865" s="1" t="s">
        <v>335</v>
      </c>
      <c r="C1865" s="1">
        <v>2015</v>
      </c>
      <c r="D1865" s="1">
        <v>1</v>
      </c>
      <c r="E1865" s="1">
        <v>2</v>
      </c>
      <c r="F1865" s="1">
        <v>1.5</v>
      </c>
      <c r="G1865" s="1">
        <v>1</v>
      </c>
      <c r="H1865" s="2">
        <v>0.99792423456149504</v>
      </c>
      <c r="I1865" s="2">
        <v>0.99571995600401697</v>
      </c>
      <c r="J1865" s="3">
        <v>31748</v>
      </c>
      <c r="K1865">
        <v>1.1659333752357008</v>
      </c>
      <c r="L1865">
        <v>5.267127592708988</v>
      </c>
      <c r="M1865">
        <v>15</v>
      </c>
    </row>
    <row r="1866" spans="1:15" x14ac:dyDescent="0.25">
      <c r="A1866" t="s">
        <v>382</v>
      </c>
      <c r="B1866" s="1" t="s">
        <v>335</v>
      </c>
      <c r="C1866" s="1">
        <v>2016</v>
      </c>
      <c r="D1866" s="1">
        <v>1</v>
      </c>
      <c r="E1866" s="1">
        <v>2</v>
      </c>
      <c r="F1866" s="1">
        <v>1.5</v>
      </c>
      <c r="G1866" s="1">
        <v>1</v>
      </c>
      <c r="H1866" s="2">
        <v>1.04739790286586</v>
      </c>
      <c r="I1866" s="2">
        <v>1.0804127804947936</v>
      </c>
      <c r="J1866" s="6">
        <v>31820</v>
      </c>
      <c r="K1866" s="7">
        <v>1.1659333752357008</v>
      </c>
      <c r="L1866" s="7">
        <v>5.267127592708988</v>
      </c>
      <c r="M1866">
        <v>15.5</v>
      </c>
      <c r="O1866" s="7"/>
    </row>
    <row r="1867" spans="1:15" x14ac:dyDescent="0.25">
      <c r="A1867" t="s">
        <v>382</v>
      </c>
      <c r="B1867" s="1" t="s">
        <v>335</v>
      </c>
      <c r="C1867" s="1">
        <v>2017</v>
      </c>
      <c r="D1867" s="1">
        <v>1</v>
      </c>
      <c r="E1867" s="1">
        <v>2</v>
      </c>
      <c r="F1867" s="1">
        <v>1.5</v>
      </c>
      <c r="G1867" s="1">
        <v>1</v>
      </c>
      <c r="H1867" s="12">
        <v>0.73713900208113103</v>
      </c>
      <c r="I1867" s="12">
        <v>0.94943664277998352</v>
      </c>
      <c r="J1867" s="3">
        <v>33442</v>
      </c>
      <c r="K1867">
        <v>1.1659333752357008</v>
      </c>
      <c r="L1867">
        <v>5.267127592708988</v>
      </c>
      <c r="M1867">
        <v>15.8</v>
      </c>
    </row>
    <row r="1868" spans="1:15" x14ac:dyDescent="0.25">
      <c r="A1868" s="8" t="s">
        <v>382</v>
      </c>
      <c r="B1868" s="1" t="s">
        <v>335</v>
      </c>
      <c r="C1868" s="1">
        <v>2018</v>
      </c>
      <c r="D1868" s="1">
        <v>1</v>
      </c>
      <c r="E1868" s="1">
        <v>2</v>
      </c>
      <c r="F1868" s="1">
        <v>1.5</v>
      </c>
      <c r="G1868" s="1">
        <v>1</v>
      </c>
      <c r="H1868" s="12">
        <v>0.74818076464053596</v>
      </c>
      <c r="I1868" s="12">
        <v>0.97313337841769154</v>
      </c>
      <c r="J1868" s="3">
        <v>34158</v>
      </c>
      <c r="K1868">
        <v>1.1659333752357008</v>
      </c>
      <c r="L1868">
        <v>5.267127592708988</v>
      </c>
      <c r="M1868">
        <v>16.2</v>
      </c>
    </row>
    <row r="1869" spans="1:15" x14ac:dyDescent="0.25">
      <c r="A1869" s="8" t="s">
        <v>383</v>
      </c>
      <c r="B1869" s="1" t="s">
        <v>335</v>
      </c>
      <c r="C1869" s="1">
        <v>2014</v>
      </c>
      <c r="D1869" s="1">
        <v>1</v>
      </c>
      <c r="E1869" s="1">
        <v>1</v>
      </c>
      <c r="F1869" s="1">
        <v>1</v>
      </c>
      <c r="G1869" s="1">
        <v>0</v>
      </c>
      <c r="J1869" s="3">
        <v>164099</v>
      </c>
      <c r="K1869">
        <v>0.49826529859009377</v>
      </c>
      <c r="L1869">
        <v>38.150513028714848</v>
      </c>
      <c r="M1869">
        <v>3220.7</v>
      </c>
    </row>
    <row r="1870" spans="1:15" x14ac:dyDescent="0.25">
      <c r="A1870" s="8" t="s">
        <v>383</v>
      </c>
      <c r="B1870" s="1" t="s">
        <v>335</v>
      </c>
      <c r="C1870" s="1">
        <v>2015</v>
      </c>
      <c r="D1870" s="1">
        <v>1</v>
      </c>
      <c r="E1870" s="1">
        <v>1</v>
      </c>
      <c r="F1870" s="1">
        <v>1</v>
      </c>
      <c r="G1870" s="1">
        <v>0</v>
      </c>
      <c r="H1870" s="2">
        <v>0.72768964387664403</v>
      </c>
      <c r="I1870" s="2">
        <v>1.1254969298919613</v>
      </c>
      <c r="J1870" s="3">
        <v>167870</v>
      </c>
      <c r="K1870">
        <v>0.49826529859009377</v>
      </c>
      <c r="L1870">
        <v>38.150513028714848</v>
      </c>
      <c r="M1870">
        <v>3294.7</v>
      </c>
    </row>
    <row r="1871" spans="1:15" x14ac:dyDescent="0.25">
      <c r="A1871" t="s">
        <v>383</v>
      </c>
      <c r="B1871" s="1" t="s">
        <v>335</v>
      </c>
      <c r="C1871" s="1">
        <v>2016</v>
      </c>
      <c r="D1871" s="1">
        <v>1</v>
      </c>
      <c r="E1871" s="1">
        <v>1</v>
      </c>
      <c r="F1871" s="1">
        <v>1</v>
      </c>
      <c r="G1871" s="1">
        <v>0</v>
      </c>
      <c r="H1871" s="2">
        <v>0.52393186702042505</v>
      </c>
      <c r="I1871" s="2">
        <v>1.216285204507201</v>
      </c>
      <c r="J1871" s="6">
        <v>162564</v>
      </c>
      <c r="K1871" s="7">
        <v>0.49826529859009377</v>
      </c>
      <c r="L1871" s="7">
        <v>38.150513028714848</v>
      </c>
      <c r="M1871">
        <v>3381.5</v>
      </c>
      <c r="O1871" s="7"/>
    </row>
    <row r="1872" spans="1:15" x14ac:dyDescent="0.25">
      <c r="A1872" t="s">
        <v>383</v>
      </c>
      <c r="B1872" s="1" t="s">
        <v>335</v>
      </c>
      <c r="C1872" s="1">
        <v>2017</v>
      </c>
      <c r="D1872" s="1">
        <v>1</v>
      </c>
      <c r="E1872" s="1">
        <v>1</v>
      </c>
      <c r="F1872" s="1">
        <v>1</v>
      </c>
      <c r="G1872" s="1">
        <v>0</v>
      </c>
      <c r="H1872" s="12">
        <v>0.80085835474967704</v>
      </c>
      <c r="I1872" s="12">
        <v>1.0581252782782495</v>
      </c>
      <c r="J1872" s="3">
        <v>176974</v>
      </c>
      <c r="K1872">
        <v>0.49826529859009377</v>
      </c>
      <c r="L1872">
        <v>38.150513028714848</v>
      </c>
      <c r="M1872">
        <v>3473.4</v>
      </c>
    </row>
    <row r="1873" spans="1:15" x14ac:dyDescent="0.25">
      <c r="A1873" s="8" t="s">
        <v>383</v>
      </c>
      <c r="B1873" s="1" t="s">
        <v>335</v>
      </c>
      <c r="C1873" s="1">
        <v>2018</v>
      </c>
      <c r="D1873" s="1">
        <v>1</v>
      </c>
      <c r="E1873" s="1">
        <v>1</v>
      </c>
      <c r="F1873" s="1">
        <v>1</v>
      </c>
      <c r="G1873" s="1">
        <v>0</v>
      </c>
      <c r="H1873" s="12">
        <v>0.696067994114005</v>
      </c>
      <c r="I1873" s="12">
        <v>1.0614217819234917</v>
      </c>
      <c r="J1873" s="3">
        <v>181725</v>
      </c>
      <c r="K1873">
        <v>0.49826529859009377</v>
      </c>
      <c r="L1873">
        <v>38.150513028714848</v>
      </c>
      <c r="M1873">
        <v>3566.6</v>
      </c>
    </row>
    <row r="1874" spans="1:15" x14ac:dyDescent="0.25">
      <c r="A1874" s="8" t="s">
        <v>384</v>
      </c>
      <c r="B1874" s="1" t="s">
        <v>335</v>
      </c>
      <c r="C1874" s="1">
        <v>2014</v>
      </c>
      <c r="D1874" s="1">
        <v>1</v>
      </c>
      <c r="E1874" s="1">
        <v>2</v>
      </c>
      <c r="F1874" s="1">
        <v>1.5</v>
      </c>
      <c r="G1874" s="1">
        <v>1</v>
      </c>
      <c r="J1874" s="3">
        <v>156500</v>
      </c>
      <c r="K1874">
        <v>0.84066685591886248</v>
      </c>
      <c r="L1874">
        <v>5.4162688069369533</v>
      </c>
      <c r="M1874">
        <v>216.1</v>
      </c>
    </row>
    <row r="1875" spans="1:15" x14ac:dyDescent="0.25">
      <c r="A1875" s="8" t="s">
        <v>384</v>
      </c>
      <c r="B1875" s="1" t="s">
        <v>335</v>
      </c>
      <c r="C1875" s="1">
        <v>2015</v>
      </c>
      <c r="D1875" s="1">
        <v>1</v>
      </c>
      <c r="E1875" s="1">
        <v>2</v>
      </c>
      <c r="F1875" s="1">
        <v>1.5</v>
      </c>
      <c r="G1875" s="1">
        <v>1</v>
      </c>
      <c r="H1875" s="2">
        <v>0.74075585061009497</v>
      </c>
      <c r="I1875" s="2">
        <v>1.0549383576855338</v>
      </c>
      <c r="J1875" s="3">
        <v>158831</v>
      </c>
      <c r="K1875">
        <v>0.84066685591886248</v>
      </c>
      <c r="L1875">
        <v>5.4162688069369533</v>
      </c>
      <c r="M1875">
        <v>219.3</v>
      </c>
    </row>
    <row r="1876" spans="1:15" x14ac:dyDescent="0.25">
      <c r="A1876" t="s">
        <v>384</v>
      </c>
      <c r="B1876" s="1" t="s">
        <v>335</v>
      </c>
      <c r="C1876" s="1">
        <v>2016</v>
      </c>
      <c r="D1876" s="1">
        <v>1</v>
      </c>
      <c r="E1876" s="1">
        <v>2</v>
      </c>
      <c r="F1876" s="1">
        <v>1.5</v>
      </c>
      <c r="G1876" s="1">
        <v>1</v>
      </c>
      <c r="H1876" s="2">
        <v>0.86674215349775297</v>
      </c>
      <c r="I1876" s="2">
        <v>1.0539475465640291</v>
      </c>
      <c r="J1876" s="6">
        <v>154996</v>
      </c>
      <c r="K1876" s="7">
        <v>0.84066685591886248</v>
      </c>
      <c r="L1876" s="7">
        <v>5.4162688069369533</v>
      </c>
      <c r="M1876">
        <v>223.1</v>
      </c>
      <c r="O1876" s="7"/>
    </row>
    <row r="1877" spans="1:15" x14ac:dyDescent="0.25">
      <c r="A1877" t="s">
        <v>384</v>
      </c>
      <c r="B1877" s="1" t="s">
        <v>335</v>
      </c>
      <c r="C1877" s="1">
        <v>2017</v>
      </c>
      <c r="D1877" s="1">
        <v>1</v>
      </c>
      <c r="E1877" s="1">
        <v>2</v>
      </c>
      <c r="F1877" s="1">
        <v>1.5</v>
      </c>
      <c r="G1877" s="1">
        <v>1</v>
      </c>
      <c r="H1877" s="12">
        <v>0.58351222214528098</v>
      </c>
      <c r="I1877" s="12">
        <v>1.0316183711838611</v>
      </c>
      <c r="J1877" s="3">
        <v>163834</v>
      </c>
      <c r="K1877">
        <v>0.84066685591886248</v>
      </c>
      <c r="L1877">
        <v>5.4162688069369533</v>
      </c>
      <c r="M1877">
        <v>226.2</v>
      </c>
    </row>
    <row r="1878" spans="1:15" x14ac:dyDescent="0.25">
      <c r="A1878" s="8" t="s">
        <v>384</v>
      </c>
      <c r="B1878" s="1" t="s">
        <v>335</v>
      </c>
      <c r="C1878" s="1">
        <v>2018</v>
      </c>
      <c r="D1878" s="1">
        <v>1</v>
      </c>
      <c r="E1878" s="1">
        <v>2</v>
      </c>
      <c r="F1878" s="1">
        <v>1.5</v>
      </c>
      <c r="G1878" s="1">
        <v>1</v>
      </c>
      <c r="H1878" s="12">
        <v>0.565464385357491</v>
      </c>
      <c r="I1878" s="12">
        <v>1.0253341600219168</v>
      </c>
      <c r="J1878" s="3">
        <v>165822</v>
      </c>
      <c r="K1878">
        <v>0.84066685591886248</v>
      </c>
      <c r="L1878">
        <v>5.4162688069369533</v>
      </c>
      <c r="M1878">
        <v>229</v>
      </c>
    </row>
    <row r="1879" spans="1:15" x14ac:dyDescent="0.25">
      <c r="A1879" s="8" t="s">
        <v>385</v>
      </c>
      <c r="B1879" s="1" t="s">
        <v>335</v>
      </c>
      <c r="C1879" s="1">
        <v>2014</v>
      </c>
      <c r="D1879" s="1">
        <v>2</v>
      </c>
      <c r="E1879" s="1">
        <v>2</v>
      </c>
      <c r="F1879" s="1">
        <v>2</v>
      </c>
      <c r="G1879" s="1">
        <v>0</v>
      </c>
      <c r="J1879" s="3">
        <v>18501</v>
      </c>
      <c r="K1879">
        <v>1.1139537362754504</v>
      </c>
      <c r="L1879">
        <v>3.3525210531926231</v>
      </c>
      <c r="M1879">
        <v>12.1</v>
      </c>
    </row>
    <row r="1880" spans="1:15" x14ac:dyDescent="0.25">
      <c r="A1880" s="8" t="s">
        <v>385</v>
      </c>
      <c r="B1880" s="1" t="s">
        <v>335</v>
      </c>
      <c r="C1880" s="1">
        <v>2015</v>
      </c>
      <c r="D1880" s="1">
        <v>2</v>
      </c>
      <c r="E1880" s="1">
        <v>2</v>
      </c>
      <c r="F1880" s="1">
        <v>2</v>
      </c>
      <c r="G1880" s="1">
        <v>0</v>
      </c>
      <c r="H1880" s="2">
        <v>0.52308760560120404</v>
      </c>
      <c r="I1880" s="2">
        <v>0.94675535757283891</v>
      </c>
      <c r="J1880" s="3">
        <v>18794</v>
      </c>
      <c r="K1880">
        <v>1.1139537362754504</v>
      </c>
      <c r="L1880">
        <v>3.3525210531926231</v>
      </c>
      <c r="M1880">
        <v>12.3</v>
      </c>
    </row>
    <row r="1881" spans="1:15" x14ac:dyDescent="0.25">
      <c r="A1881" t="s">
        <v>385</v>
      </c>
      <c r="B1881" s="1" t="s">
        <v>335</v>
      </c>
      <c r="C1881" s="1">
        <v>2016</v>
      </c>
      <c r="D1881" s="1">
        <v>2</v>
      </c>
      <c r="E1881" s="1">
        <v>2</v>
      </c>
      <c r="F1881" s="1">
        <v>2</v>
      </c>
      <c r="G1881" s="1">
        <v>0</v>
      </c>
      <c r="H1881" s="2">
        <v>0.70652844625447397</v>
      </c>
      <c r="I1881" s="2">
        <v>1.1021294823155059</v>
      </c>
      <c r="J1881" s="6">
        <v>18762</v>
      </c>
      <c r="K1881" s="7">
        <v>1.1139537362754504</v>
      </c>
      <c r="L1881" s="7">
        <v>3.3525210531926231</v>
      </c>
      <c r="M1881">
        <v>12.5</v>
      </c>
      <c r="O1881" s="7"/>
    </row>
    <row r="1882" spans="1:15" x14ac:dyDescent="0.25">
      <c r="A1882" t="s">
        <v>385</v>
      </c>
      <c r="B1882" s="1" t="s">
        <v>335</v>
      </c>
      <c r="C1882" s="1">
        <v>2017</v>
      </c>
      <c r="D1882" s="1">
        <v>2</v>
      </c>
      <c r="E1882" s="1">
        <v>2</v>
      </c>
      <c r="F1882" s="1">
        <v>2</v>
      </c>
      <c r="G1882" s="1">
        <v>0</v>
      </c>
      <c r="H1882" s="12">
        <v>1.0266303525495499</v>
      </c>
      <c r="I1882" s="12">
        <v>1.0375257466529351</v>
      </c>
      <c r="J1882" s="3">
        <v>19297</v>
      </c>
      <c r="K1882">
        <v>1.1139537362754504</v>
      </c>
      <c r="L1882">
        <v>3.3525210531926231</v>
      </c>
      <c r="M1882">
        <v>12.6</v>
      </c>
    </row>
    <row r="1883" spans="1:15" x14ac:dyDescent="0.25">
      <c r="A1883" s="8" t="s">
        <v>385</v>
      </c>
      <c r="B1883" s="1" t="s">
        <v>335</v>
      </c>
      <c r="C1883" s="1">
        <v>2018</v>
      </c>
      <c r="D1883" s="1">
        <v>2</v>
      </c>
      <c r="E1883" s="1">
        <v>2</v>
      </c>
      <c r="F1883" s="1">
        <v>2</v>
      </c>
      <c r="G1883" s="1">
        <v>0</v>
      </c>
      <c r="H1883" s="12">
        <v>0.85803727431566701</v>
      </c>
      <c r="I1883" s="12">
        <v>1.0409571162212554</v>
      </c>
      <c r="J1883" s="3">
        <v>19514</v>
      </c>
      <c r="K1883">
        <v>1.1139537362754504</v>
      </c>
      <c r="L1883">
        <v>3.3525210531926231</v>
      </c>
      <c r="M1883">
        <v>12.8</v>
      </c>
    </row>
    <row r="1884" spans="1:15" x14ac:dyDescent="0.25">
      <c r="A1884" s="8" t="s">
        <v>386</v>
      </c>
      <c r="B1884" s="1" t="s">
        <v>335</v>
      </c>
      <c r="C1884" s="1">
        <v>2014</v>
      </c>
      <c r="D1884" s="1">
        <v>2</v>
      </c>
      <c r="E1884" s="1">
        <v>3</v>
      </c>
      <c r="F1884" s="1">
        <v>2.5</v>
      </c>
      <c r="G1884" s="1">
        <v>1</v>
      </c>
      <c r="J1884" s="3">
        <v>16512</v>
      </c>
      <c r="K1884">
        <v>1.2121946784653617</v>
      </c>
      <c r="L1884">
        <v>2.0425480332141341</v>
      </c>
      <c r="M1884">
        <v>3</v>
      </c>
    </row>
    <row r="1885" spans="1:15" x14ac:dyDescent="0.25">
      <c r="A1885" s="8" t="s">
        <v>386</v>
      </c>
      <c r="B1885" s="1" t="s">
        <v>335</v>
      </c>
      <c r="C1885" s="1">
        <v>2015</v>
      </c>
      <c r="D1885" s="1">
        <v>2</v>
      </c>
      <c r="E1885" s="1">
        <v>3</v>
      </c>
      <c r="F1885" s="1">
        <v>2.5</v>
      </c>
      <c r="G1885" s="1">
        <v>1</v>
      </c>
      <c r="H1885" s="2">
        <v>0.99296230383433104</v>
      </c>
      <c r="I1885" s="2">
        <v>1.1053063589396939</v>
      </c>
      <c r="J1885" s="3">
        <v>16591</v>
      </c>
      <c r="K1885">
        <v>1.2121946784653617</v>
      </c>
      <c r="L1885">
        <v>2.0425480332141341</v>
      </c>
      <c r="M1885">
        <v>3</v>
      </c>
    </row>
    <row r="1886" spans="1:15" x14ac:dyDescent="0.25">
      <c r="A1886" t="s">
        <v>386</v>
      </c>
      <c r="B1886" s="1" t="s">
        <v>335</v>
      </c>
      <c r="C1886" s="1">
        <v>2016</v>
      </c>
      <c r="D1886" s="1">
        <v>2</v>
      </c>
      <c r="E1886" s="1">
        <v>3</v>
      </c>
      <c r="F1886" s="1">
        <v>2.5</v>
      </c>
      <c r="G1886" s="1">
        <v>1</v>
      </c>
      <c r="H1886" s="2">
        <v>1.1558844592981601</v>
      </c>
      <c r="I1886" s="2">
        <v>1.1827742693987233</v>
      </c>
      <c r="J1886" s="6">
        <v>16499</v>
      </c>
      <c r="K1886" s="7">
        <v>1.2121946784653617</v>
      </c>
      <c r="L1886" s="7">
        <v>2.0425480332141341</v>
      </c>
      <c r="M1886">
        <v>3.1</v>
      </c>
      <c r="O1886" s="7"/>
    </row>
    <row r="1887" spans="1:15" x14ac:dyDescent="0.25">
      <c r="A1887" t="s">
        <v>386</v>
      </c>
      <c r="B1887" s="1" t="s">
        <v>335</v>
      </c>
      <c r="C1887" s="1">
        <v>2017</v>
      </c>
      <c r="D1887" s="1">
        <v>2</v>
      </c>
      <c r="E1887" s="1">
        <v>3</v>
      </c>
      <c r="F1887" s="1">
        <v>2.5</v>
      </c>
      <c r="G1887" s="1">
        <v>1</v>
      </c>
      <c r="H1887" s="12">
        <v>0.895362477516227</v>
      </c>
      <c r="I1887" s="12">
        <v>0.99014041727997004</v>
      </c>
      <c r="J1887" s="3">
        <v>16793</v>
      </c>
      <c r="K1887">
        <v>1.2121946784653617</v>
      </c>
      <c r="L1887">
        <v>2.0425480332141341</v>
      </c>
      <c r="M1887">
        <v>3.1</v>
      </c>
    </row>
    <row r="1888" spans="1:15" x14ac:dyDescent="0.25">
      <c r="A1888" s="8" t="s">
        <v>386</v>
      </c>
      <c r="B1888" s="1" t="s">
        <v>335</v>
      </c>
      <c r="C1888" s="1">
        <v>2018</v>
      </c>
      <c r="D1888" s="1">
        <v>2</v>
      </c>
      <c r="E1888" s="1">
        <v>3</v>
      </c>
      <c r="F1888" s="1">
        <v>2.5</v>
      </c>
      <c r="G1888" s="1">
        <v>1</v>
      </c>
      <c r="H1888" s="12">
        <v>1.0153069153069201</v>
      </c>
      <c r="I1888" s="12">
        <v>0.98854670399592759</v>
      </c>
      <c r="J1888" s="3">
        <v>16887</v>
      </c>
      <c r="K1888">
        <v>1.2121946784653617</v>
      </c>
      <c r="L1888">
        <v>2.0425480332141341</v>
      </c>
      <c r="M1888">
        <v>3.1</v>
      </c>
    </row>
    <row r="1889" spans="1:15" x14ac:dyDescent="0.25">
      <c r="A1889" s="8" t="s">
        <v>387</v>
      </c>
      <c r="B1889" s="1" t="s">
        <v>335</v>
      </c>
      <c r="C1889" s="1">
        <v>2014</v>
      </c>
      <c r="D1889" s="1">
        <v>2</v>
      </c>
      <c r="E1889" s="1">
        <v>3</v>
      </c>
      <c r="F1889" s="1">
        <v>2.5</v>
      </c>
      <c r="G1889" s="1">
        <v>1</v>
      </c>
      <c r="J1889" s="3">
        <v>13687</v>
      </c>
      <c r="K1889">
        <v>1.3328477785870356</v>
      </c>
      <c r="L1889">
        <v>3.2410779315367808</v>
      </c>
      <c r="M1889">
        <v>3.5</v>
      </c>
    </row>
    <row r="1890" spans="1:15" x14ac:dyDescent="0.25">
      <c r="A1890" s="8" t="s">
        <v>387</v>
      </c>
      <c r="B1890" s="1" t="s">
        <v>335</v>
      </c>
      <c r="C1890" s="1">
        <v>2015</v>
      </c>
      <c r="D1890" s="1">
        <v>2</v>
      </c>
      <c r="E1890" s="1">
        <v>3</v>
      </c>
      <c r="F1890" s="1">
        <v>2.5</v>
      </c>
      <c r="G1890" s="1">
        <v>1</v>
      </c>
      <c r="H1890" s="2">
        <v>0.51665248741027203</v>
      </c>
      <c r="I1890" s="2">
        <v>1.0367799180573751</v>
      </c>
      <c r="J1890" s="3">
        <v>13848</v>
      </c>
      <c r="K1890">
        <v>1.3328477785870356</v>
      </c>
      <c r="L1890">
        <v>3.2410779315367808</v>
      </c>
      <c r="M1890">
        <v>3.6</v>
      </c>
    </row>
    <row r="1891" spans="1:15" x14ac:dyDescent="0.25">
      <c r="A1891" t="s">
        <v>387</v>
      </c>
      <c r="B1891" s="1" t="s">
        <v>335</v>
      </c>
      <c r="C1891" s="1">
        <v>2016</v>
      </c>
      <c r="D1891" s="1">
        <v>2</v>
      </c>
      <c r="E1891" s="1">
        <v>3</v>
      </c>
      <c r="F1891" s="1">
        <v>2.5</v>
      </c>
      <c r="G1891" s="1">
        <v>1</v>
      </c>
      <c r="H1891" s="2">
        <v>0.81629997634256002</v>
      </c>
      <c r="I1891" s="2">
        <v>1.0666913329016743</v>
      </c>
      <c r="J1891" s="6">
        <v>13730</v>
      </c>
      <c r="K1891" s="7">
        <v>1.3328477785870356</v>
      </c>
      <c r="L1891" s="7">
        <v>3.2410779315367808</v>
      </c>
      <c r="M1891">
        <v>3.6</v>
      </c>
      <c r="O1891" s="7"/>
    </row>
    <row r="1892" spans="1:15" x14ac:dyDescent="0.25">
      <c r="A1892" t="s">
        <v>387</v>
      </c>
      <c r="B1892" s="1" t="s">
        <v>335</v>
      </c>
      <c r="C1892" s="1">
        <v>2017</v>
      </c>
      <c r="D1892" s="1">
        <v>2</v>
      </c>
      <c r="E1892" s="1">
        <v>3</v>
      </c>
      <c r="F1892" s="1">
        <v>2.5</v>
      </c>
      <c r="G1892" s="1">
        <v>1</v>
      </c>
      <c r="H1892" s="12">
        <v>0.84709999999999996</v>
      </c>
      <c r="I1892" s="12">
        <v>0.89126559714795017</v>
      </c>
      <c r="J1892" s="3">
        <v>14234</v>
      </c>
      <c r="K1892">
        <v>1.3328477785870356</v>
      </c>
      <c r="L1892">
        <v>3.2410779315367808</v>
      </c>
      <c r="M1892">
        <v>3.7</v>
      </c>
    </row>
    <row r="1893" spans="1:15" x14ac:dyDescent="0.25">
      <c r="A1893" s="8" t="s">
        <v>387</v>
      </c>
      <c r="B1893" s="1" t="s">
        <v>335</v>
      </c>
      <c r="C1893" s="1">
        <v>2018</v>
      </c>
      <c r="D1893" s="1">
        <v>2</v>
      </c>
      <c r="E1893" s="1">
        <v>3</v>
      </c>
      <c r="F1893" s="1">
        <v>2.5</v>
      </c>
      <c r="G1893" s="1">
        <v>1</v>
      </c>
      <c r="H1893" s="12">
        <v>0.82620000000000005</v>
      </c>
      <c r="I1893" s="12">
        <v>0.91751536838242032</v>
      </c>
      <c r="J1893" s="3">
        <v>14478</v>
      </c>
      <c r="K1893">
        <v>1.3328477785870356</v>
      </c>
      <c r="L1893">
        <v>3.2410779315367808</v>
      </c>
      <c r="M1893">
        <v>3.7</v>
      </c>
    </row>
    <row r="1894" spans="1:15" x14ac:dyDescent="0.25">
      <c r="A1894" s="8" t="s">
        <v>388</v>
      </c>
      <c r="B1894" s="1" t="s">
        <v>335</v>
      </c>
      <c r="C1894" s="1">
        <v>2014</v>
      </c>
      <c r="D1894" s="1">
        <v>1</v>
      </c>
      <c r="E1894" s="1">
        <v>2</v>
      </c>
      <c r="F1894" s="1">
        <v>1.5</v>
      </c>
      <c r="G1894" s="1">
        <v>1</v>
      </c>
      <c r="J1894" s="3">
        <v>63433</v>
      </c>
      <c r="K1894">
        <v>0.37536312302118352</v>
      </c>
      <c r="L1894">
        <v>9.1898684597055844</v>
      </c>
      <c r="M1894">
        <v>146.69999999999999</v>
      </c>
    </row>
    <row r="1895" spans="1:15" x14ac:dyDescent="0.25">
      <c r="A1895" s="8" t="s">
        <v>388</v>
      </c>
      <c r="B1895" s="1" t="s">
        <v>335</v>
      </c>
      <c r="C1895" s="1">
        <v>2015</v>
      </c>
      <c r="D1895" s="1">
        <v>1</v>
      </c>
      <c r="E1895" s="1">
        <v>2</v>
      </c>
      <c r="F1895" s="1">
        <v>1.5</v>
      </c>
      <c r="G1895" s="1">
        <v>1</v>
      </c>
      <c r="H1895" s="2">
        <v>0.52092590678929396</v>
      </c>
      <c r="I1895" s="2">
        <v>1.1085202611993794</v>
      </c>
      <c r="J1895" s="3">
        <v>63675</v>
      </c>
      <c r="K1895">
        <v>0.37536312302118352</v>
      </c>
      <c r="L1895">
        <v>9.1898684597055844</v>
      </c>
      <c r="M1895">
        <v>147.30000000000001</v>
      </c>
    </row>
    <row r="1896" spans="1:15" x14ac:dyDescent="0.25">
      <c r="A1896" t="s">
        <v>388</v>
      </c>
      <c r="B1896" s="1" t="s">
        <v>335</v>
      </c>
      <c r="C1896" s="1">
        <v>2016</v>
      </c>
      <c r="D1896" s="1">
        <v>1</v>
      </c>
      <c r="E1896" s="1">
        <v>2</v>
      </c>
      <c r="F1896" s="1">
        <v>1.5</v>
      </c>
      <c r="G1896" s="1">
        <v>1</v>
      </c>
      <c r="H1896" s="2">
        <v>0.70542486797887705</v>
      </c>
      <c r="I1896" s="2">
        <v>1.0924263854956924</v>
      </c>
      <c r="J1896" s="6">
        <v>61274</v>
      </c>
      <c r="K1896" s="7">
        <v>0.37536312302118352</v>
      </c>
      <c r="L1896" s="7">
        <v>9.1898684597055844</v>
      </c>
      <c r="M1896">
        <v>148.4</v>
      </c>
      <c r="O1896" s="7"/>
    </row>
    <row r="1897" spans="1:15" x14ac:dyDescent="0.25">
      <c r="A1897" t="s">
        <v>388</v>
      </c>
      <c r="B1897" s="1" t="s">
        <v>335</v>
      </c>
      <c r="C1897" s="1">
        <v>2017</v>
      </c>
      <c r="D1897" s="1">
        <v>1</v>
      </c>
      <c r="E1897" s="1">
        <v>2</v>
      </c>
      <c r="F1897" s="1">
        <v>1.5</v>
      </c>
      <c r="G1897" s="1">
        <v>1</v>
      </c>
      <c r="H1897" s="12">
        <v>1.2264366621635701</v>
      </c>
      <c r="I1897" s="12">
        <v>1.0518322384033172</v>
      </c>
      <c r="J1897" s="3">
        <v>64618</v>
      </c>
      <c r="K1897">
        <v>0.37536312302118352</v>
      </c>
      <c r="L1897">
        <v>9.1898684597055844</v>
      </c>
      <c r="M1897">
        <v>149.5</v>
      </c>
    </row>
    <row r="1898" spans="1:15" x14ac:dyDescent="0.25">
      <c r="A1898" s="8" t="s">
        <v>388</v>
      </c>
      <c r="B1898" s="1" t="s">
        <v>335</v>
      </c>
      <c r="C1898" s="1">
        <v>2018</v>
      </c>
      <c r="D1898" s="1">
        <v>1</v>
      </c>
      <c r="E1898" s="1">
        <v>2</v>
      </c>
      <c r="F1898" s="1">
        <v>1.5</v>
      </c>
      <c r="G1898" s="1">
        <v>1</v>
      </c>
      <c r="H1898" s="12">
        <v>0.82178419020524296</v>
      </c>
      <c r="I1898" s="12">
        <v>1.054528338321908</v>
      </c>
      <c r="J1898" s="3">
        <v>64941</v>
      </c>
      <c r="K1898">
        <v>0.37536312302118352</v>
      </c>
      <c r="L1898">
        <v>9.1898684597055844</v>
      </c>
      <c r="M1898">
        <v>150.19999999999999</v>
      </c>
    </row>
    <row r="1899" spans="1:15" x14ac:dyDescent="0.25">
      <c r="A1899" s="8" t="s">
        <v>389</v>
      </c>
      <c r="B1899" s="1" t="s">
        <v>335</v>
      </c>
      <c r="C1899" s="1">
        <v>2014</v>
      </c>
      <c r="D1899" s="1">
        <v>2</v>
      </c>
      <c r="E1899" s="1">
        <v>3</v>
      </c>
      <c r="F1899" s="1">
        <v>2.5</v>
      </c>
      <c r="G1899" s="1">
        <v>1</v>
      </c>
      <c r="J1899" s="3">
        <v>11777</v>
      </c>
      <c r="K1899">
        <v>1.4428121720881428</v>
      </c>
      <c r="L1899">
        <v>3.2179083595662821</v>
      </c>
      <c r="M1899">
        <v>2.1</v>
      </c>
    </row>
    <row r="1900" spans="1:15" x14ac:dyDescent="0.25">
      <c r="A1900" s="8" t="s">
        <v>389</v>
      </c>
      <c r="B1900" s="1" t="s">
        <v>335</v>
      </c>
      <c r="C1900" s="1">
        <v>2015</v>
      </c>
      <c r="D1900" s="1">
        <v>2</v>
      </c>
      <c r="E1900" s="1">
        <v>3</v>
      </c>
      <c r="F1900" s="1">
        <v>2.5</v>
      </c>
      <c r="G1900" s="1">
        <v>1</v>
      </c>
      <c r="H1900" s="2">
        <v>0.48624893677346198</v>
      </c>
      <c r="I1900" s="2">
        <v>1.1736758011516082</v>
      </c>
      <c r="J1900" s="3">
        <v>11644</v>
      </c>
      <c r="K1900">
        <v>1.4428121720881428</v>
      </c>
      <c r="L1900">
        <v>3.2179083595662821</v>
      </c>
      <c r="M1900">
        <v>2</v>
      </c>
    </row>
    <row r="1901" spans="1:15" x14ac:dyDescent="0.25">
      <c r="A1901" t="s">
        <v>389</v>
      </c>
      <c r="B1901" s="1" t="s">
        <v>335</v>
      </c>
      <c r="C1901" s="1">
        <v>2016</v>
      </c>
      <c r="D1901" s="1">
        <v>2</v>
      </c>
      <c r="E1901" s="1">
        <v>3</v>
      </c>
      <c r="F1901" s="1">
        <v>2.5</v>
      </c>
      <c r="G1901" s="1">
        <v>1</v>
      </c>
      <c r="H1901" s="2">
        <v>0.35530896431679698</v>
      </c>
      <c r="I1901" s="2">
        <v>1.0242233491792205</v>
      </c>
      <c r="J1901" s="6">
        <v>11436</v>
      </c>
      <c r="K1901" s="7">
        <v>1.4428121720881428</v>
      </c>
      <c r="L1901" s="7">
        <v>3.2179083595662821</v>
      </c>
      <c r="M1901">
        <v>2</v>
      </c>
      <c r="O1901" s="7"/>
    </row>
    <row r="1902" spans="1:15" x14ac:dyDescent="0.25">
      <c r="A1902" t="s">
        <v>389</v>
      </c>
      <c r="B1902" s="1" t="s">
        <v>335</v>
      </c>
      <c r="C1902" s="1">
        <v>2017</v>
      </c>
      <c r="D1902" s="1">
        <v>2</v>
      </c>
      <c r="E1902" s="1">
        <v>3</v>
      </c>
      <c r="F1902" s="1">
        <v>2.5</v>
      </c>
      <c r="G1902" s="1">
        <v>1</v>
      </c>
      <c r="H1902" s="12">
        <v>0.52347357619291901</v>
      </c>
      <c r="I1902" s="12">
        <v>0.90653321534283393</v>
      </c>
      <c r="J1902" s="3">
        <v>11517</v>
      </c>
      <c r="K1902">
        <v>1.4428121720881428</v>
      </c>
      <c r="L1902">
        <v>3.2179083595662821</v>
      </c>
      <c r="M1902">
        <v>2</v>
      </c>
    </row>
    <row r="1903" spans="1:15" x14ac:dyDescent="0.25">
      <c r="A1903" s="8" t="s">
        <v>389</v>
      </c>
      <c r="B1903" s="1" t="s">
        <v>335</v>
      </c>
      <c r="C1903" s="1">
        <v>2018</v>
      </c>
      <c r="D1903" s="1">
        <v>2</v>
      </c>
      <c r="E1903" s="1">
        <v>3</v>
      </c>
      <c r="F1903" s="1">
        <v>2.5</v>
      </c>
      <c r="G1903" s="1">
        <v>1</v>
      </c>
      <c r="H1903" s="12">
        <v>0.553402943766512</v>
      </c>
      <c r="I1903" s="12">
        <v>0.92723412468635402</v>
      </c>
      <c r="J1903" s="3">
        <v>11431</v>
      </c>
      <c r="K1903">
        <v>1.4428121720881428</v>
      </c>
      <c r="L1903">
        <v>3.2179083595662821</v>
      </c>
      <c r="M1903">
        <v>2</v>
      </c>
    </row>
    <row r="1904" spans="1:15" x14ac:dyDescent="0.25">
      <c r="A1904" s="8" t="s">
        <v>390</v>
      </c>
      <c r="B1904" s="1" t="s">
        <v>335</v>
      </c>
      <c r="C1904" s="1">
        <v>2014</v>
      </c>
      <c r="D1904" s="1">
        <v>1</v>
      </c>
      <c r="E1904" s="1">
        <v>1</v>
      </c>
      <c r="F1904" s="1">
        <v>1</v>
      </c>
      <c r="G1904" s="1">
        <v>0</v>
      </c>
      <c r="J1904" s="3">
        <v>104451</v>
      </c>
      <c r="K1904">
        <v>0.39459464818615347</v>
      </c>
      <c r="L1904">
        <v>20.600220100532404</v>
      </c>
      <c r="M1904">
        <v>5043.7</v>
      </c>
    </row>
    <row r="1905" spans="1:15" x14ac:dyDescent="0.25">
      <c r="A1905" s="8" t="s">
        <v>390</v>
      </c>
      <c r="B1905" s="1" t="s">
        <v>335</v>
      </c>
      <c r="C1905" s="1">
        <v>2015</v>
      </c>
      <c r="D1905" s="1">
        <v>1</v>
      </c>
      <c r="E1905" s="1">
        <v>1</v>
      </c>
      <c r="F1905" s="1">
        <v>1</v>
      </c>
      <c r="G1905" s="1">
        <v>0</v>
      </c>
      <c r="H1905" s="2">
        <v>0.73227768456375797</v>
      </c>
      <c r="I1905" s="2">
        <v>0.993598547060769</v>
      </c>
      <c r="J1905" s="3">
        <v>106381</v>
      </c>
      <c r="K1905">
        <v>0.39459464818615347</v>
      </c>
      <c r="L1905">
        <v>20.600220100532404</v>
      </c>
      <c r="M1905">
        <v>5136.8999999999996</v>
      </c>
    </row>
    <row r="1906" spans="1:15" x14ac:dyDescent="0.25">
      <c r="A1906" t="s">
        <v>390</v>
      </c>
      <c r="B1906" s="1" t="s">
        <v>335</v>
      </c>
      <c r="C1906" s="1">
        <v>2016</v>
      </c>
      <c r="D1906" s="1">
        <v>1</v>
      </c>
      <c r="E1906" s="1">
        <v>1</v>
      </c>
      <c r="F1906" s="1">
        <v>1</v>
      </c>
      <c r="G1906" s="1">
        <v>0</v>
      </c>
      <c r="H1906" s="2">
        <v>0.91982953788786803</v>
      </c>
      <c r="I1906" s="2">
        <v>1.0126408054426184</v>
      </c>
      <c r="J1906" s="6">
        <v>100863</v>
      </c>
      <c r="K1906" s="7">
        <v>0.39459464818615347</v>
      </c>
      <c r="L1906" s="7">
        <v>20.600220100532404</v>
      </c>
      <c r="M1906">
        <v>5245.3</v>
      </c>
      <c r="O1906" s="7"/>
    </row>
    <row r="1907" spans="1:15" x14ac:dyDescent="0.25">
      <c r="A1907" t="s">
        <v>390</v>
      </c>
      <c r="B1907" s="1" t="s">
        <v>335</v>
      </c>
      <c r="C1907" s="1">
        <v>2017</v>
      </c>
      <c r="D1907" s="1">
        <v>1</v>
      </c>
      <c r="E1907" s="1">
        <v>1</v>
      </c>
      <c r="F1907" s="1">
        <v>1</v>
      </c>
      <c r="G1907" s="1">
        <v>0</v>
      </c>
      <c r="H1907" s="12">
        <v>1.04984547901505</v>
      </c>
      <c r="I1907" s="12">
        <v>1.0559612711077409</v>
      </c>
      <c r="J1907" s="3">
        <v>110656</v>
      </c>
      <c r="K1907">
        <v>0.39459464818615347</v>
      </c>
      <c r="L1907">
        <v>20.600220100532404</v>
      </c>
      <c r="M1907">
        <v>5343.3</v>
      </c>
    </row>
    <row r="1908" spans="1:15" x14ac:dyDescent="0.25">
      <c r="A1908" s="8" t="s">
        <v>390</v>
      </c>
      <c r="B1908" s="1" t="s">
        <v>335</v>
      </c>
      <c r="C1908" s="1">
        <v>2018</v>
      </c>
      <c r="D1908" s="1">
        <v>1</v>
      </c>
      <c r="E1908" s="1">
        <v>1</v>
      </c>
      <c r="F1908" s="1">
        <v>1</v>
      </c>
      <c r="G1908" s="1">
        <v>0</v>
      </c>
      <c r="H1908" s="12">
        <v>1.07549931535955</v>
      </c>
      <c r="I1908" s="12">
        <v>1.0595934162050411</v>
      </c>
      <c r="J1908" s="3">
        <v>113200</v>
      </c>
      <c r="K1908">
        <v>0.39459464818615347</v>
      </c>
      <c r="L1908">
        <v>20.600220100532404</v>
      </c>
      <c r="M1908">
        <v>5466.2</v>
      </c>
    </row>
    <row r="1909" spans="1:15" x14ac:dyDescent="0.25">
      <c r="A1909" s="8" t="s">
        <v>391</v>
      </c>
      <c r="B1909" s="1" t="s">
        <v>335</v>
      </c>
      <c r="C1909" s="1">
        <v>2014</v>
      </c>
      <c r="D1909" s="1">
        <v>2</v>
      </c>
      <c r="E1909" s="1">
        <v>3</v>
      </c>
      <c r="F1909" s="1">
        <v>2.5</v>
      </c>
      <c r="G1909" s="1">
        <v>1</v>
      </c>
      <c r="J1909" s="3">
        <v>7047</v>
      </c>
      <c r="K1909">
        <v>1.8922651933701657</v>
      </c>
      <c r="L1909">
        <v>1.7955801104972375</v>
      </c>
      <c r="M1909">
        <v>2.1</v>
      </c>
    </row>
    <row r="1910" spans="1:15" x14ac:dyDescent="0.25">
      <c r="A1910" s="8" t="s">
        <v>391</v>
      </c>
      <c r="B1910" s="1" t="s">
        <v>335</v>
      </c>
      <c r="C1910" s="1">
        <v>2015</v>
      </c>
      <c r="D1910" s="1">
        <v>2</v>
      </c>
      <c r="E1910" s="1">
        <v>3</v>
      </c>
      <c r="F1910" s="1">
        <v>2.5</v>
      </c>
      <c r="G1910" s="1">
        <v>1</v>
      </c>
      <c r="H1910" s="2">
        <v>0.61693242217160205</v>
      </c>
      <c r="I1910" s="2">
        <v>0.90470267425728368</v>
      </c>
      <c r="J1910" s="3">
        <v>7179</v>
      </c>
      <c r="K1910">
        <v>1.8922651933701657</v>
      </c>
      <c r="L1910">
        <v>1.7955801104972375</v>
      </c>
      <c r="M1910">
        <v>2.1</v>
      </c>
    </row>
    <row r="1911" spans="1:15" x14ac:dyDescent="0.25">
      <c r="A1911" t="s">
        <v>391</v>
      </c>
      <c r="B1911" s="1" t="s">
        <v>335</v>
      </c>
      <c r="C1911" s="1">
        <v>2016</v>
      </c>
      <c r="D1911" s="1">
        <v>2</v>
      </c>
      <c r="E1911" s="1">
        <v>3</v>
      </c>
      <c r="F1911" s="1">
        <v>2.5</v>
      </c>
      <c r="G1911" s="1">
        <v>1</v>
      </c>
      <c r="H1911" s="2">
        <v>0.70643996388805297</v>
      </c>
      <c r="I1911" s="2">
        <v>1.1169349589968329</v>
      </c>
      <c r="J1911" s="6">
        <v>7240</v>
      </c>
      <c r="K1911" s="7">
        <v>1.8922651933701657</v>
      </c>
      <c r="L1911" s="7">
        <v>1.7955801104972375</v>
      </c>
      <c r="M1911">
        <v>2.1</v>
      </c>
      <c r="O1911" s="7"/>
    </row>
    <row r="1912" spans="1:15" x14ac:dyDescent="0.25">
      <c r="A1912" t="s">
        <v>391</v>
      </c>
      <c r="B1912" s="1" t="s">
        <v>335</v>
      </c>
      <c r="C1912" s="1">
        <v>2017</v>
      </c>
      <c r="D1912" s="1">
        <v>2</v>
      </c>
      <c r="E1912" s="1">
        <v>3</v>
      </c>
      <c r="F1912" s="1">
        <v>2.5</v>
      </c>
      <c r="G1912" s="1">
        <v>1</v>
      </c>
      <c r="H1912" s="12">
        <v>0.62942555685814805</v>
      </c>
      <c r="I1912" s="12">
        <v>0.80730289678447575</v>
      </c>
      <c r="J1912" s="3">
        <v>7358</v>
      </c>
      <c r="K1912">
        <v>1.8922651933701657</v>
      </c>
      <c r="L1912">
        <v>1.7955801104972375</v>
      </c>
      <c r="M1912">
        <v>2.1</v>
      </c>
    </row>
    <row r="1913" spans="1:15" x14ac:dyDescent="0.25">
      <c r="A1913" s="8" t="s">
        <v>391</v>
      </c>
      <c r="B1913" s="1" t="s">
        <v>335</v>
      </c>
      <c r="C1913" s="1">
        <v>2018</v>
      </c>
      <c r="D1913" s="1">
        <v>2</v>
      </c>
      <c r="E1913" s="1">
        <v>3</v>
      </c>
      <c r="F1913" s="1">
        <v>2.5</v>
      </c>
      <c r="G1913" s="1">
        <v>1</v>
      </c>
      <c r="H1913" s="12">
        <v>0.652673492605233</v>
      </c>
      <c r="I1913" s="12">
        <v>0.81870115625428441</v>
      </c>
      <c r="J1913" s="3">
        <v>7353</v>
      </c>
      <c r="K1913">
        <v>1.8922651933701657</v>
      </c>
      <c r="L1913">
        <v>1.7955801104972375</v>
      </c>
      <c r="M1913">
        <v>2.1</v>
      </c>
    </row>
    <row r="1914" spans="1:15" x14ac:dyDescent="0.25">
      <c r="A1914" s="8" t="s">
        <v>392</v>
      </c>
      <c r="B1914" s="1" t="s">
        <v>335</v>
      </c>
      <c r="C1914" s="1">
        <v>2014</v>
      </c>
      <c r="D1914" s="1">
        <v>2</v>
      </c>
      <c r="E1914" s="1">
        <v>2</v>
      </c>
      <c r="F1914" s="1">
        <v>2</v>
      </c>
      <c r="G1914" s="1">
        <v>0</v>
      </c>
      <c r="J1914" s="3">
        <v>2970</v>
      </c>
      <c r="K1914">
        <v>0.28030833917309039</v>
      </c>
      <c r="L1914">
        <v>2.9782761037140855</v>
      </c>
      <c r="M1914">
        <v>344.7</v>
      </c>
    </row>
    <row r="1915" spans="1:15" x14ac:dyDescent="0.25">
      <c r="A1915" s="8" t="s">
        <v>392</v>
      </c>
      <c r="B1915" s="1" t="s">
        <v>335</v>
      </c>
      <c r="C1915" s="1">
        <v>2015</v>
      </c>
      <c r="D1915" s="1">
        <v>2</v>
      </c>
      <c r="E1915" s="1">
        <v>2</v>
      </c>
      <c r="F1915" s="1">
        <v>2</v>
      </c>
      <c r="G1915" s="1">
        <v>0</v>
      </c>
      <c r="H1915" s="2">
        <v>0.80564143634060903</v>
      </c>
      <c r="I1915" s="2">
        <v>0.97809956807532394</v>
      </c>
      <c r="J1915" s="3">
        <v>2933</v>
      </c>
      <c r="K1915">
        <v>0.28030833917309039</v>
      </c>
      <c r="L1915">
        <v>2.9782761037140855</v>
      </c>
      <c r="M1915">
        <v>340.4</v>
      </c>
    </row>
    <row r="1916" spans="1:15" x14ac:dyDescent="0.25">
      <c r="A1916" t="s">
        <v>392</v>
      </c>
      <c r="B1916" s="1" t="s">
        <v>335</v>
      </c>
      <c r="C1916" s="1">
        <v>2016</v>
      </c>
      <c r="D1916" s="1">
        <v>2</v>
      </c>
      <c r="E1916" s="1">
        <v>2</v>
      </c>
      <c r="F1916" s="1">
        <v>2</v>
      </c>
      <c r="G1916" s="1">
        <v>0</v>
      </c>
      <c r="H1916" s="2">
        <v>0.51980755541091195</v>
      </c>
      <c r="I1916" s="2">
        <v>1.0232838999910543</v>
      </c>
      <c r="J1916" s="6">
        <v>2854</v>
      </c>
      <c r="K1916" s="7">
        <v>0.28030833917309039</v>
      </c>
      <c r="L1916" s="7">
        <v>2.9782761037140855</v>
      </c>
      <c r="M1916">
        <v>339.9</v>
      </c>
      <c r="O1916" s="7"/>
    </row>
    <row r="1917" spans="1:15" x14ac:dyDescent="0.25">
      <c r="A1917" t="s">
        <v>392</v>
      </c>
      <c r="B1917" s="1" t="s">
        <v>335</v>
      </c>
      <c r="C1917" s="1">
        <v>2017</v>
      </c>
      <c r="D1917" s="1">
        <v>2</v>
      </c>
      <c r="E1917" s="1">
        <v>2</v>
      </c>
      <c r="F1917" s="1">
        <v>2</v>
      </c>
      <c r="G1917" s="1">
        <v>0</v>
      </c>
      <c r="H1917" s="12">
        <v>1.10017271157168</v>
      </c>
      <c r="I1917" s="12">
        <v>1.0160201511335012</v>
      </c>
      <c r="J1917" s="3">
        <v>2959</v>
      </c>
      <c r="K1917">
        <v>0.28030833917309039</v>
      </c>
      <c r="L1917">
        <v>2.9782761037140855</v>
      </c>
      <c r="M1917">
        <v>343.4</v>
      </c>
    </row>
    <row r="1918" spans="1:15" x14ac:dyDescent="0.25">
      <c r="A1918" s="8" t="s">
        <v>392</v>
      </c>
      <c r="B1918" s="1" t="s">
        <v>335</v>
      </c>
      <c r="C1918" s="1">
        <v>2018</v>
      </c>
      <c r="D1918" s="1">
        <v>2</v>
      </c>
      <c r="E1918" s="1">
        <v>2</v>
      </c>
      <c r="F1918" s="1">
        <v>2</v>
      </c>
      <c r="G1918" s="1">
        <v>0</v>
      </c>
      <c r="H1918" s="12">
        <v>1.1996587030716701</v>
      </c>
      <c r="I1918" s="12">
        <v>1.0200136014767316</v>
      </c>
      <c r="J1918" s="3">
        <v>2982</v>
      </c>
      <c r="K1918">
        <v>0.28030833917309039</v>
      </c>
      <c r="L1918">
        <v>2.9782761037140855</v>
      </c>
      <c r="M1918">
        <v>346.1</v>
      </c>
    </row>
    <row r="1919" spans="1:15" x14ac:dyDescent="0.25">
      <c r="A1919" s="8" t="s">
        <v>393</v>
      </c>
      <c r="B1919" s="1" t="s">
        <v>335</v>
      </c>
      <c r="C1919" s="1">
        <v>2014</v>
      </c>
      <c r="D1919" s="1">
        <v>2</v>
      </c>
      <c r="E1919" s="1">
        <v>3</v>
      </c>
      <c r="F1919" s="1">
        <v>2.5</v>
      </c>
      <c r="G1919" s="1">
        <v>1</v>
      </c>
      <c r="J1919" s="3">
        <v>28521</v>
      </c>
      <c r="K1919">
        <v>0.96864111498257843</v>
      </c>
      <c r="L1919">
        <v>3.3763066202090597</v>
      </c>
      <c r="M1919">
        <v>8.6999999999999993</v>
      </c>
    </row>
    <row r="1920" spans="1:15" x14ac:dyDescent="0.25">
      <c r="A1920" s="8" t="s">
        <v>393</v>
      </c>
      <c r="B1920" s="1" t="s">
        <v>335</v>
      </c>
      <c r="C1920" s="1">
        <v>2015</v>
      </c>
      <c r="D1920" s="1">
        <v>2</v>
      </c>
      <c r="E1920" s="1">
        <v>3</v>
      </c>
      <c r="F1920" s="1">
        <v>2.5</v>
      </c>
      <c r="G1920" s="1">
        <v>1</v>
      </c>
      <c r="H1920" s="2">
        <v>0.84411402594942697</v>
      </c>
      <c r="I1920" s="2">
        <v>1.1409903102498002</v>
      </c>
      <c r="J1920" s="3">
        <v>28781</v>
      </c>
      <c r="K1920">
        <v>0.96864111498257843</v>
      </c>
      <c r="L1920">
        <v>3.3763066202090597</v>
      </c>
      <c r="M1920">
        <v>8.6999999999999993</v>
      </c>
    </row>
    <row r="1921" spans="1:15" x14ac:dyDescent="0.25">
      <c r="A1921" t="s">
        <v>393</v>
      </c>
      <c r="B1921" s="1" t="s">
        <v>335</v>
      </c>
      <c r="C1921" s="1">
        <v>2016</v>
      </c>
      <c r="D1921" s="1">
        <v>2</v>
      </c>
      <c r="E1921" s="1">
        <v>3</v>
      </c>
      <c r="F1921" s="1">
        <v>2.5</v>
      </c>
      <c r="G1921" s="1">
        <v>1</v>
      </c>
      <c r="H1921" s="2">
        <v>1.1132949961376699</v>
      </c>
      <c r="I1921" s="2">
        <v>1.137771460681585</v>
      </c>
      <c r="J1921" s="6">
        <v>28700</v>
      </c>
      <c r="K1921" s="7">
        <v>0.96864111498257843</v>
      </c>
      <c r="L1921" s="7">
        <v>3.3763066202090597</v>
      </c>
      <c r="M1921">
        <v>8.8000000000000007</v>
      </c>
      <c r="O1921" s="7"/>
    </row>
    <row r="1922" spans="1:15" x14ac:dyDescent="0.25">
      <c r="A1922" t="s">
        <v>393</v>
      </c>
      <c r="B1922" s="1" t="s">
        <v>335</v>
      </c>
      <c r="C1922" s="1">
        <v>2017</v>
      </c>
      <c r="D1922" s="1">
        <v>2</v>
      </c>
      <c r="E1922" s="1">
        <v>3</v>
      </c>
      <c r="F1922" s="1">
        <v>2.5</v>
      </c>
      <c r="G1922" s="1">
        <v>1</v>
      </c>
      <c r="H1922" s="12">
        <v>0.923729532535845</v>
      </c>
      <c r="I1922" s="12">
        <v>1.0429507233351194</v>
      </c>
      <c r="J1922" s="3">
        <v>29321</v>
      </c>
      <c r="K1922">
        <v>0.96864111498257843</v>
      </c>
      <c r="L1922">
        <v>3.3763066202090597</v>
      </c>
      <c r="M1922">
        <v>8.9</v>
      </c>
    </row>
    <row r="1923" spans="1:15" x14ac:dyDescent="0.25">
      <c r="A1923" s="8" t="s">
        <v>393</v>
      </c>
      <c r="B1923" s="1" t="s">
        <v>335</v>
      </c>
      <c r="C1923" s="1">
        <v>2018</v>
      </c>
      <c r="D1923" s="1">
        <v>2</v>
      </c>
      <c r="E1923" s="1">
        <v>3</v>
      </c>
      <c r="F1923" s="1">
        <v>2.5</v>
      </c>
      <c r="G1923" s="1">
        <v>1</v>
      </c>
      <c r="H1923" s="12">
        <v>1.0642051952295399</v>
      </c>
      <c r="I1923" s="12">
        <v>1.0623789361811542</v>
      </c>
      <c r="J1923" s="3">
        <v>29576</v>
      </c>
      <c r="K1923">
        <v>0.96864111498257843</v>
      </c>
      <c r="L1923">
        <v>3.3763066202090597</v>
      </c>
      <c r="M1923">
        <v>9</v>
      </c>
    </row>
    <row r="1924" spans="1:15" x14ac:dyDescent="0.25">
      <c r="A1924" s="8" t="s">
        <v>394</v>
      </c>
      <c r="B1924" s="1" t="s">
        <v>335</v>
      </c>
      <c r="C1924" s="1">
        <v>2014</v>
      </c>
      <c r="D1924" s="1">
        <v>2</v>
      </c>
      <c r="E1924" s="1">
        <v>3</v>
      </c>
      <c r="F1924" s="1">
        <v>2.5</v>
      </c>
      <c r="G1924" s="1">
        <v>1</v>
      </c>
      <c r="J1924" s="3">
        <v>16255</v>
      </c>
      <c r="K1924">
        <v>1.4867323254500973</v>
      </c>
      <c r="L1924">
        <v>2.6786274386801328</v>
      </c>
      <c r="M1924">
        <v>2.4</v>
      </c>
    </row>
    <row r="1925" spans="1:15" x14ac:dyDescent="0.25">
      <c r="A1925" s="8" t="s">
        <v>394</v>
      </c>
      <c r="B1925" s="1" t="s">
        <v>335</v>
      </c>
      <c r="C1925" s="1">
        <v>2015</v>
      </c>
      <c r="D1925" s="1">
        <v>2</v>
      </c>
      <c r="E1925" s="1">
        <v>3</v>
      </c>
      <c r="F1925" s="1">
        <v>2.5</v>
      </c>
      <c r="G1925" s="1">
        <v>1</v>
      </c>
      <c r="H1925" s="2">
        <v>0.74475486465920204</v>
      </c>
      <c r="I1925" s="2">
        <v>1.0165817895539646</v>
      </c>
      <c r="J1925" s="3">
        <v>16162</v>
      </c>
      <c r="K1925">
        <v>1.4867323254500973</v>
      </c>
      <c r="L1925">
        <v>2.6786274386801328</v>
      </c>
      <c r="M1925">
        <v>2.4</v>
      </c>
    </row>
    <row r="1926" spans="1:15" x14ac:dyDescent="0.25">
      <c r="A1926" t="s">
        <v>394</v>
      </c>
      <c r="B1926" s="1" t="s">
        <v>335</v>
      </c>
      <c r="C1926" s="1">
        <v>2016</v>
      </c>
      <c r="D1926" s="1">
        <v>2</v>
      </c>
      <c r="E1926" s="1">
        <v>3</v>
      </c>
      <c r="F1926" s="1">
        <v>2.5</v>
      </c>
      <c r="G1926" s="1">
        <v>1</v>
      </c>
      <c r="H1926" s="2">
        <v>0.517499016909162</v>
      </c>
      <c r="I1926" s="2">
        <v>0.80350240025890463</v>
      </c>
      <c r="J1926" s="6">
        <v>15941</v>
      </c>
      <c r="K1926" s="7">
        <v>1.4867323254500973</v>
      </c>
      <c r="L1926" s="7">
        <v>2.6786274386801328</v>
      </c>
      <c r="M1926">
        <v>2.4</v>
      </c>
      <c r="O1926" s="7"/>
    </row>
    <row r="1927" spans="1:15" x14ac:dyDescent="0.25">
      <c r="A1927" t="s">
        <v>394</v>
      </c>
      <c r="B1927" s="1" t="s">
        <v>335</v>
      </c>
      <c r="C1927" s="1">
        <v>2017</v>
      </c>
      <c r="D1927" s="1">
        <v>2</v>
      </c>
      <c r="E1927" s="1">
        <v>3</v>
      </c>
      <c r="F1927" s="1">
        <v>2.5</v>
      </c>
      <c r="G1927" s="1">
        <v>1</v>
      </c>
      <c r="H1927" s="12">
        <v>0.92094997705369397</v>
      </c>
      <c r="I1927" s="12">
        <v>1.0303755718693479</v>
      </c>
      <c r="J1927" s="3">
        <v>16123</v>
      </c>
      <c r="K1927">
        <v>1.4867323254500973</v>
      </c>
      <c r="L1927">
        <v>2.6786274386801328</v>
      </c>
      <c r="M1927">
        <v>2.4</v>
      </c>
    </row>
    <row r="1928" spans="1:15" x14ac:dyDescent="0.25">
      <c r="A1928" s="8" t="s">
        <v>394</v>
      </c>
      <c r="B1928" s="1" t="s">
        <v>335</v>
      </c>
      <c r="C1928" s="1">
        <v>2018</v>
      </c>
      <c r="D1928" s="1">
        <v>2</v>
      </c>
      <c r="E1928" s="1">
        <v>3</v>
      </c>
      <c r="F1928" s="1">
        <v>2.5</v>
      </c>
      <c r="G1928" s="1">
        <v>1</v>
      </c>
      <c r="H1928" s="12">
        <v>0.81906837999082105</v>
      </c>
      <c r="I1928" s="12">
        <v>1.0360105776210722</v>
      </c>
      <c r="J1928" s="3">
        <v>16135</v>
      </c>
      <c r="K1928">
        <v>1.4867323254500973</v>
      </c>
      <c r="L1928">
        <v>2.6786274386801328</v>
      </c>
      <c r="M1928">
        <v>2.4</v>
      </c>
    </row>
    <row r="1929" spans="1:15" x14ac:dyDescent="0.25">
      <c r="A1929" s="8" t="s">
        <v>395</v>
      </c>
      <c r="B1929" s="1" t="s">
        <v>335</v>
      </c>
      <c r="C1929" s="1">
        <v>2014</v>
      </c>
      <c r="D1929" s="1">
        <v>1</v>
      </c>
      <c r="E1929" s="1">
        <v>1</v>
      </c>
      <c r="F1929" s="1">
        <v>1</v>
      </c>
      <c r="G1929" s="1">
        <v>0</v>
      </c>
      <c r="J1929" s="3">
        <v>105894</v>
      </c>
      <c r="K1929">
        <v>0.29470967244849805</v>
      </c>
      <c r="L1929">
        <v>23.175159634405908</v>
      </c>
      <c r="M1929">
        <v>4128.2</v>
      </c>
    </row>
    <row r="1930" spans="1:15" x14ac:dyDescent="0.25">
      <c r="A1930" s="8" t="s">
        <v>395</v>
      </c>
      <c r="B1930" s="1" t="s">
        <v>335</v>
      </c>
      <c r="C1930" s="1">
        <v>2015</v>
      </c>
      <c r="D1930" s="1">
        <v>1</v>
      </c>
      <c r="E1930" s="1">
        <v>1</v>
      </c>
      <c r="F1930" s="1">
        <v>1</v>
      </c>
      <c r="G1930" s="1">
        <v>0</v>
      </c>
      <c r="H1930" s="2">
        <v>1.2827640186915901</v>
      </c>
      <c r="I1930" s="2">
        <v>1.1667656915163942</v>
      </c>
      <c r="J1930" s="3">
        <v>108028</v>
      </c>
      <c r="K1930">
        <v>0.29470967244849805</v>
      </c>
      <c r="L1930">
        <v>23.175159634405908</v>
      </c>
      <c r="M1930">
        <v>4211.3999999999996</v>
      </c>
    </row>
    <row r="1931" spans="1:15" x14ac:dyDescent="0.25">
      <c r="A1931" t="s">
        <v>395</v>
      </c>
      <c r="B1931" s="1" t="s">
        <v>335</v>
      </c>
      <c r="C1931" s="1">
        <v>2016</v>
      </c>
      <c r="D1931" s="1">
        <v>1</v>
      </c>
      <c r="E1931" s="1">
        <v>1</v>
      </c>
      <c r="F1931" s="1">
        <v>1</v>
      </c>
      <c r="G1931" s="1">
        <v>0</v>
      </c>
      <c r="H1931" s="2">
        <v>1.1944310854973299</v>
      </c>
      <c r="I1931" s="2">
        <v>1.1832112026987884</v>
      </c>
      <c r="J1931" s="6">
        <v>103831</v>
      </c>
      <c r="K1931" s="7">
        <v>0.29470967244849805</v>
      </c>
      <c r="L1931" s="7">
        <v>23.175159634405908</v>
      </c>
      <c r="M1931">
        <v>4327.3999999999996</v>
      </c>
      <c r="O1931" s="7"/>
    </row>
    <row r="1932" spans="1:15" x14ac:dyDescent="0.25">
      <c r="A1932" t="s">
        <v>395</v>
      </c>
      <c r="B1932" s="1" t="s">
        <v>335</v>
      </c>
      <c r="C1932" s="1">
        <v>2017</v>
      </c>
      <c r="D1932" s="1">
        <v>1</v>
      </c>
      <c r="E1932" s="1">
        <v>1</v>
      </c>
      <c r="F1932" s="1">
        <v>1</v>
      </c>
      <c r="G1932" s="1">
        <v>0</v>
      </c>
      <c r="H1932" s="12">
        <v>1.0996820984660001</v>
      </c>
      <c r="I1932" s="12">
        <v>1.1433884338161946</v>
      </c>
      <c r="J1932" s="3">
        <v>113772</v>
      </c>
      <c r="K1932">
        <v>0.29470967244849805</v>
      </c>
      <c r="L1932">
        <v>23.175159634405908</v>
      </c>
      <c r="M1932">
        <v>4435.3</v>
      </c>
    </row>
    <row r="1933" spans="1:15" x14ac:dyDescent="0.25">
      <c r="A1933" s="8" t="s">
        <v>395</v>
      </c>
      <c r="B1933" s="1" t="s">
        <v>335</v>
      </c>
      <c r="C1933" s="1">
        <v>2018</v>
      </c>
      <c r="D1933" s="1">
        <v>1</v>
      </c>
      <c r="E1933" s="1">
        <v>1</v>
      </c>
      <c r="F1933" s="1">
        <v>1</v>
      </c>
      <c r="G1933" s="1">
        <v>0</v>
      </c>
      <c r="H1933" s="12">
        <v>1.0683139811179401</v>
      </c>
      <c r="I1933" s="12">
        <v>1.148564681168259</v>
      </c>
      <c r="J1933" s="3">
        <v>116207</v>
      </c>
      <c r="K1933">
        <v>0.29470967244849805</v>
      </c>
      <c r="L1933">
        <v>23.175159634405908</v>
      </c>
      <c r="M1933">
        <v>4530.2</v>
      </c>
    </row>
    <row r="1934" spans="1:15" x14ac:dyDescent="0.25">
      <c r="A1934" s="8" t="s">
        <v>396</v>
      </c>
      <c r="B1934" s="1" t="s">
        <v>335</v>
      </c>
      <c r="C1934" s="1">
        <v>2014</v>
      </c>
      <c r="D1934" s="1">
        <v>2</v>
      </c>
      <c r="E1934" s="1">
        <v>2</v>
      </c>
      <c r="F1934" s="1">
        <v>2</v>
      </c>
      <c r="G1934" s="1">
        <v>0</v>
      </c>
      <c r="J1934" s="3">
        <v>10018</v>
      </c>
      <c r="K1934">
        <v>1.1292834890965731</v>
      </c>
      <c r="L1934">
        <v>3.3489096573208719</v>
      </c>
      <c r="M1934">
        <v>3</v>
      </c>
    </row>
    <row r="1935" spans="1:15" x14ac:dyDescent="0.25">
      <c r="A1935" s="8" t="s">
        <v>396</v>
      </c>
      <c r="B1935" s="1" t="s">
        <v>335</v>
      </c>
      <c r="C1935" s="1">
        <v>2015</v>
      </c>
      <c r="D1935" s="1">
        <v>2</v>
      </c>
      <c r="E1935" s="1">
        <v>2</v>
      </c>
      <c r="F1935" s="1">
        <v>2</v>
      </c>
      <c r="G1935" s="1">
        <v>0</v>
      </c>
      <c r="H1935" s="2">
        <v>1.31517034966785</v>
      </c>
      <c r="I1935" s="2">
        <v>1.1140259847769234</v>
      </c>
      <c r="J1935" s="3">
        <v>10175</v>
      </c>
      <c r="K1935">
        <v>1.1292834890965731</v>
      </c>
      <c r="L1935">
        <v>3.3489096573208719</v>
      </c>
      <c r="M1935">
        <v>3.1</v>
      </c>
    </row>
    <row r="1936" spans="1:15" x14ac:dyDescent="0.25">
      <c r="A1936" t="s">
        <v>396</v>
      </c>
      <c r="B1936" s="1" t="s">
        <v>335</v>
      </c>
      <c r="C1936" s="1">
        <v>2016</v>
      </c>
      <c r="D1936" s="1">
        <v>2</v>
      </c>
      <c r="E1936" s="1">
        <v>2</v>
      </c>
      <c r="F1936" s="1">
        <v>2</v>
      </c>
      <c r="G1936" s="1">
        <v>0</v>
      </c>
      <c r="H1936" s="2">
        <v>0.98279409014400598</v>
      </c>
      <c r="I1936" s="2">
        <v>1.1287861956602232</v>
      </c>
      <c r="J1936" s="6">
        <v>10272</v>
      </c>
      <c r="K1936" s="7">
        <v>1.1292834890965731</v>
      </c>
      <c r="L1936" s="7">
        <v>3.3489096573208719</v>
      </c>
      <c r="M1936">
        <v>3.1</v>
      </c>
      <c r="O1936" s="7"/>
    </row>
    <row r="1937" spans="1:15" x14ac:dyDescent="0.25">
      <c r="A1937" t="s">
        <v>396</v>
      </c>
      <c r="B1937" s="1" t="s">
        <v>335</v>
      </c>
      <c r="C1937" s="1">
        <v>2017</v>
      </c>
      <c r="D1937" s="1">
        <v>2</v>
      </c>
      <c r="E1937" s="1">
        <v>2</v>
      </c>
      <c r="F1937" s="1">
        <v>2</v>
      </c>
      <c r="G1937" s="1">
        <v>0</v>
      </c>
      <c r="H1937" s="12">
        <v>1.33696335078534</v>
      </c>
      <c r="I1937" s="12">
        <v>1.0093428716625621</v>
      </c>
      <c r="J1937" s="3">
        <v>10484</v>
      </c>
      <c r="K1937">
        <v>1.1292834890965731</v>
      </c>
      <c r="L1937">
        <v>3.3489096573208719</v>
      </c>
      <c r="M1937">
        <v>3.2</v>
      </c>
    </row>
    <row r="1938" spans="1:15" x14ac:dyDescent="0.25">
      <c r="A1938" s="8" t="s">
        <v>396</v>
      </c>
      <c r="B1938" s="1" t="s">
        <v>335</v>
      </c>
      <c r="C1938" s="1">
        <v>2018</v>
      </c>
      <c r="D1938" s="1">
        <v>2</v>
      </c>
      <c r="E1938" s="1">
        <v>2</v>
      </c>
      <c r="F1938" s="1">
        <v>2</v>
      </c>
      <c r="G1938" s="1">
        <v>0</v>
      </c>
      <c r="H1938" s="12">
        <v>1.252239697392</v>
      </c>
      <c r="I1938" s="12">
        <v>1.0297176256262335</v>
      </c>
      <c r="J1938" s="3">
        <v>10645</v>
      </c>
      <c r="K1938">
        <v>1.1292834890965731</v>
      </c>
      <c r="L1938">
        <v>3.3489096573208719</v>
      </c>
      <c r="M1938">
        <v>3.2</v>
      </c>
    </row>
    <row r="1939" spans="1:15" x14ac:dyDescent="0.25">
      <c r="A1939" s="8" t="s">
        <v>397</v>
      </c>
      <c r="B1939" s="1" t="s">
        <v>335</v>
      </c>
      <c r="C1939" s="1">
        <v>2014</v>
      </c>
      <c r="D1939" s="1">
        <v>1</v>
      </c>
      <c r="E1939" s="1">
        <v>2</v>
      </c>
      <c r="F1939" s="1">
        <v>1.5</v>
      </c>
      <c r="G1939" s="1">
        <v>1</v>
      </c>
      <c r="J1939" s="3">
        <v>28874</v>
      </c>
      <c r="K1939">
        <v>0.62920889735392149</v>
      </c>
      <c r="L1939">
        <v>3.9827222637915787</v>
      </c>
      <c r="M1939">
        <v>18.600000000000001</v>
      </c>
    </row>
    <row r="1940" spans="1:15" x14ac:dyDescent="0.25">
      <c r="A1940" s="8" t="s">
        <v>397</v>
      </c>
      <c r="B1940" s="1" t="s">
        <v>335</v>
      </c>
      <c r="C1940" s="1">
        <v>2015</v>
      </c>
      <c r="D1940" s="1">
        <v>1</v>
      </c>
      <c r="E1940" s="1">
        <v>2</v>
      </c>
      <c r="F1940" s="1">
        <v>1.5</v>
      </c>
      <c r="G1940" s="1">
        <v>1</v>
      </c>
      <c r="H1940" s="2">
        <v>0.63172343670564302</v>
      </c>
      <c r="I1940" s="2">
        <v>1.0657964554812691</v>
      </c>
      <c r="J1940" s="3">
        <v>29625</v>
      </c>
      <c r="K1940">
        <v>0.62920889735392149</v>
      </c>
      <c r="L1940">
        <v>3.9827222637915787</v>
      </c>
      <c r="M1940">
        <v>19.100000000000001</v>
      </c>
    </row>
    <row r="1941" spans="1:15" x14ac:dyDescent="0.25">
      <c r="A1941" t="s">
        <v>397</v>
      </c>
      <c r="B1941" s="1" t="s">
        <v>335</v>
      </c>
      <c r="C1941" s="1">
        <v>2016</v>
      </c>
      <c r="D1941" s="1">
        <v>1</v>
      </c>
      <c r="E1941" s="1">
        <v>2</v>
      </c>
      <c r="F1941" s="1">
        <v>1.5</v>
      </c>
      <c r="G1941" s="1">
        <v>1</v>
      </c>
      <c r="H1941" s="2">
        <v>0.43714753501910097</v>
      </c>
      <c r="I1941" s="2">
        <v>1.0718133944425052</v>
      </c>
      <c r="J1941" s="6">
        <v>29402</v>
      </c>
      <c r="K1941" s="7">
        <v>0.62920889735392149</v>
      </c>
      <c r="L1941" s="7">
        <v>3.9827222637915787</v>
      </c>
      <c r="M1941">
        <v>19.600000000000001</v>
      </c>
      <c r="O1941" s="7"/>
    </row>
    <row r="1942" spans="1:15" x14ac:dyDescent="0.25">
      <c r="A1942" t="s">
        <v>397</v>
      </c>
      <c r="B1942" s="1" t="s">
        <v>335</v>
      </c>
      <c r="C1942" s="1">
        <v>2017</v>
      </c>
      <c r="D1942" s="1">
        <v>1</v>
      </c>
      <c r="E1942" s="1">
        <v>2</v>
      </c>
      <c r="F1942" s="1">
        <v>1.5</v>
      </c>
      <c r="G1942" s="1">
        <v>1</v>
      </c>
      <c r="H1942" s="12">
        <v>0.54473770263719701</v>
      </c>
      <c r="I1942" s="12">
        <v>0.92006730441549078</v>
      </c>
      <c r="J1942" s="3">
        <v>31347</v>
      </c>
      <c r="K1942">
        <v>0.62920889735392149</v>
      </c>
      <c r="L1942">
        <v>3.9827222637915787</v>
      </c>
      <c r="M1942">
        <v>20.2</v>
      </c>
    </row>
    <row r="1943" spans="1:15" x14ac:dyDescent="0.25">
      <c r="A1943" s="8" t="s">
        <v>397</v>
      </c>
      <c r="B1943" s="1" t="s">
        <v>335</v>
      </c>
      <c r="C1943" s="1">
        <v>2018</v>
      </c>
      <c r="D1943" s="1">
        <v>1</v>
      </c>
      <c r="E1943" s="1">
        <v>2</v>
      </c>
      <c r="F1943" s="1">
        <v>1.5</v>
      </c>
      <c r="G1943" s="1">
        <v>1</v>
      </c>
      <c r="H1943" s="12">
        <v>0.59941429584786998</v>
      </c>
      <c r="I1943" s="12">
        <v>0.99312702219635218</v>
      </c>
      <c r="J1943" s="3">
        <v>32251</v>
      </c>
      <c r="K1943">
        <v>0.62920889735392149</v>
      </c>
      <c r="L1943">
        <v>3.9827222637915787</v>
      </c>
      <c r="M1943">
        <v>20.8</v>
      </c>
    </row>
    <row r="1944" spans="1:15" x14ac:dyDescent="0.25">
      <c r="A1944" s="8" t="s">
        <v>398</v>
      </c>
      <c r="B1944" s="1" t="s">
        <v>335</v>
      </c>
      <c r="C1944" s="1">
        <v>2014</v>
      </c>
      <c r="D1944" s="1">
        <v>3</v>
      </c>
      <c r="E1944" s="1">
        <v>3</v>
      </c>
      <c r="F1944" s="1">
        <v>3</v>
      </c>
      <c r="G1944" s="1">
        <v>0</v>
      </c>
      <c r="J1944" s="3">
        <v>20940</v>
      </c>
      <c r="K1944">
        <v>4.0656725117792778</v>
      </c>
      <c r="L1944">
        <v>11.453830086948075</v>
      </c>
      <c r="M1944">
        <v>3.4</v>
      </c>
    </row>
    <row r="1945" spans="1:15" x14ac:dyDescent="0.25">
      <c r="A1945" s="8" t="s">
        <v>398</v>
      </c>
      <c r="B1945" s="1" t="s">
        <v>335</v>
      </c>
      <c r="C1945" s="1">
        <v>2015</v>
      </c>
      <c r="D1945" s="1">
        <v>3</v>
      </c>
      <c r="E1945" s="1">
        <v>3</v>
      </c>
      <c r="F1945" s="1">
        <v>3</v>
      </c>
      <c r="G1945" s="1">
        <v>0</v>
      </c>
      <c r="H1945" s="2">
        <v>0.88881925294560005</v>
      </c>
      <c r="I1945" s="2">
        <v>1.069486967314853</v>
      </c>
      <c r="J1945" s="3">
        <v>20893</v>
      </c>
      <c r="K1945">
        <v>4.0656725117792778</v>
      </c>
      <c r="L1945">
        <v>11.453830086948075</v>
      </c>
      <c r="M1945">
        <v>3.4</v>
      </c>
    </row>
    <row r="1946" spans="1:15" x14ac:dyDescent="0.25">
      <c r="A1946" t="s">
        <v>398</v>
      </c>
      <c r="B1946" s="1" t="s">
        <v>335</v>
      </c>
      <c r="C1946" s="1">
        <v>2016</v>
      </c>
      <c r="D1946" s="1">
        <v>3</v>
      </c>
      <c r="E1946" s="1">
        <v>3</v>
      </c>
      <c r="F1946" s="1">
        <v>3</v>
      </c>
      <c r="G1946" s="1">
        <v>0</v>
      </c>
      <c r="H1946" s="2">
        <v>0.76921368280764102</v>
      </c>
      <c r="I1946" s="2">
        <v>1.1318618286879669</v>
      </c>
      <c r="J1946" s="6">
        <v>20587</v>
      </c>
      <c r="K1946" s="7">
        <v>4.0656725117792778</v>
      </c>
      <c r="L1946" s="7">
        <v>11.453830086948075</v>
      </c>
      <c r="M1946">
        <v>3.4</v>
      </c>
      <c r="O1946" s="7"/>
    </row>
    <row r="1947" spans="1:15" x14ac:dyDescent="0.25">
      <c r="A1947" t="s">
        <v>398</v>
      </c>
      <c r="B1947" s="1" t="s">
        <v>335</v>
      </c>
      <c r="C1947" s="1">
        <v>2017</v>
      </c>
      <c r="D1947" s="1">
        <v>3</v>
      </c>
      <c r="E1947" s="1">
        <v>3</v>
      </c>
      <c r="F1947" s="1">
        <v>3</v>
      </c>
      <c r="G1947" s="1">
        <v>0</v>
      </c>
      <c r="H1947" s="12">
        <v>0.79659772365683501</v>
      </c>
      <c r="I1947" s="12">
        <v>1.0556179431161565</v>
      </c>
      <c r="J1947" s="3">
        <v>20847</v>
      </c>
      <c r="K1947">
        <v>4.0656725117792778</v>
      </c>
      <c r="L1947">
        <v>11.453830086948075</v>
      </c>
      <c r="M1947">
        <v>3.4</v>
      </c>
    </row>
    <row r="1948" spans="1:15" x14ac:dyDescent="0.25">
      <c r="A1948" s="8" t="s">
        <v>398</v>
      </c>
      <c r="B1948" s="1" t="s">
        <v>335</v>
      </c>
      <c r="C1948" s="1">
        <v>2018</v>
      </c>
      <c r="D1948" s="1">
        <v>3</v>
      </c>
      <c r="E1948" s="1">
        <v>3</v>
      </c>
      <c r="F1948" s="1">
        <v>3</v>
      </c>
      <c r="G1948" s="1">
        <v>0</v>
      </c>
      <c r="H1948" s="12">
        <v>1.0016404968361801</v>
      </c>
      <c r="I1948" s="12">
        <v>1.0346108721157607</v>
      </c>
      <c r="J1948" s="3">
        <v>20759</v>
      </c>
      <c r="K1948">
        <v>4.0656725117792778</v>
      </c>
      <c r="L1948">
        <v>11.453830086948075</v>
      </c>
      <c r="M1948">
        <v>3.4</v>
      </c>
    </row>
    <row r="1949" spans="1:15" x14ac:dyDescent="0.25">
      <c r="A1949" s="8" t="s">
        <v>399</v>
      </c>
      <c r="B1949" s="1" t="s">
        <v>335</v>
      </c>
      <c r="C1949" s="1">
        <v>2014</v>
      </c>
      <c r="D1949" s="1">
        <v>2</v>
      </c>
      <c r="E1949" s="1">
        <v>3</v>
      </c>
      <c r="F1949" s="1">
        <v>2.5</v>
      </c>
      <c r="G1949" s="1">
        <v>1</v>
      </c>
      <c r="J1949" s="3">
        <v>5982</v>
      </c>
      <c r="K1949">
        <v>1.5703307718008688</v>
      </c>
      <c r="L1949">
        <v>2.4056130972268623</v>
      </c>
      <c r="M1949">
        <v>0.9</v>
      </c>
    </row>
    <row r="1950" spans="1:15" x14ac:dyDescent="0.25">
      <c r="A1950" s="8" t="s">
        <v>399</v>
      </c>
      <c r="B1950" s="1" t="s">
        <v>335</v>
      </c>
      <c r="C1950" s="1">
        <v>2015</v>
      </c>
      <c r="D1950" s="1">
        <v>2</v>
      </c>
      <c r="E1950" s="1">
        <v>3</v>
      </c>
      <c r="F1950" s="1">
        <v>2.5</v>
      </c>
      <c r="G1950" s="1">
        <v>1</v>
      </c>
      <c r="H1950" s="2">
        <v>0.76635229692728901</v>
      </c>
      <c r="I1950" s="2">
        <v>1.3618594823032226</v>
      </c>
      <c r="J1950" s="3">
        <v>6005</v>
      </c>
      <c r="K1950">
        <v>1.5703307718008688</v>
      </c>
      <c r="L1950">
        <v>2.4056130972268623</v>
      </c>
      <c r="M1950">
        <v>0.9</v>
      </c>
    </row>
    <row r="1951" spans="1:15" x14ac:dyDescent="0.25">
      <c r="A1951" t="s">
        <v>399</v>
      </c>
      <c r="B1951" s="1" t="s">
        <v>335</v>
      </c>
      <c r="C1951" s="1">
        <v>2016</v>
      </c>
      <c r="D1951" s="1">
        <v>2</v>
      </c>
      <c r="E1951" s="1">
        <v>3</v>
      </c>
      <c r="F1951" s="1">
        <v>2.5</v>
      </c>
      <c r="G1951" s="1">
        <v>1</v>
      </c>
      <c r="H1951" s="2">
        <v>1.02794857462269</v>
      </c>
      <c r="I1951" s="2">
        <v>1.4293575137564911</v>
      </c>
      <c r="J1951" s="6">
        <v>5986</v>
      </c>
      <c r="K1951" s="7">
        <v>1.5703307718008688</v>
      </c>
      <c r="L1951" s="7">
        <v>2.4056130972268623</v>
      </c>
      <c r="M1951">
        <v>0.9</v>
      </c>
      <c r="O1951" s="7"/>
    </row>
    <row r="1952" spans="1:15" x14ac:dyDescent="0.25">
      <c r="A1952" t="s">
        <v>399</v>
      </c>
      <c r="B1952" s="1" t="s">
        <v>335</v>
      </c>
      <c r="C1952" s="1">
        <v>2017</v>
      </c>
      <c r="D1952" s="1">
        <v>2</v>
      </c>
      <c r="E1952" s="1">
        <v>3</v>
      </c>
      <c r="F1952" s="1">
        <v>2.5</v>
      </c>
      <c r="G1952" s="1">
        <v>1</v>
      </c>
      <c r="H1952" s="12">
        <v>0.95819490586932399</v>
      </c>
      <c r="I1952" s="12">
        <v>0.99388379204892963</v>
      </c>
      <c r="J1952" s="3">
        <v>6039</v>
      </c>
      <c r="K1952">
        <v>1.5703307718008688</v>
      </c>
      <c r="L1952">
        <v>2.4056130972268623</v>
      </c>
      <c r="M1952">
        <v>0.9</v>
      </c>
    </row>
    <row r="1953" spans="1:15" x14ac:dyDescent="0.25">
      <c r="A1953" s="8" t="s">
        <v>399</v>
      </c>
      <c r="B1953" s="1" t="s">
        <v>335</v>
      </c>
      <c r="C1953" s="1">
        <v>2018</v>
      </c>
      <c r="D1953" s="1">
        <v>2</v>
      </c>
      <c r="E1953" s="1">
        <v>3</v>
      </c>
      <c r="F1953" s="1">
        <v>2.5</v>
      </c>
      <c r="G1953" s="1">
        <v>1</v>
      </c>
      <c r="H1953" s="12">
        <v>1.0186454620235801</v>
      </c>
      <c r="I1953" s="12">
        <v>1.0036915790206868</v>
      </c>
      <c r="J1953" s="3">
        <v>6054</v>
      </c>
      <c r="K1953">
        <v>1.5703307718008688</v>
      </c>
      <c r="L1953">
        <v>2.4056130972268623</v>
      </c>
      <c r="M1953">
        <v>0.9</v>
      </c>
    </row>
    <row r="1954" spans="1:15" x14ac:dyDescent="0.25">
      <c r="A1954" s="8" t="s">
        <v>400</v>
      </c>
      <c r="B1954" s="1" t="s">
        <v>335</v>
      </c>
      <c r="C1954" s="1">
        <v>2014</v>
      </c>
      <c r="D1954" s="1">
        <v>2</v>
      </c>
      <c r="E1954" s="1">
        <v>3</v>
      </c>
      <c r="F1954" s="1">
        <v>2.5</v>
      </c>
      <c r="G1954" s="1">
        <v>1</v>
      </c>
      <c r="J1954" s="3">
        <v>27862</v>
      </c>
      <c r="K1954">
        <v>1.3352172377251854</v>
      </c>
      <c r="L1954">
        <v>4.574355351465913</v>
      </c>
      <c r="M1954">
        <v>7.6</v>
      </c>
    </row>
    <row r="1955" spans="1:15" x14ac:dyDescent="0.25">
      <c r="A1955" s="8" t="s">
        <v>400</v>
      </c>
      <c r="B1955" s="1" t="s">
        <v>335</v>
      </c>
      <c r="C1955" s="1">
        <v>2015</v>
      </c>
      <c r="D1955" s="1">
        <v>2</v>
      </c>
      <c r="E1955" s="1">
        <v>3</v>
      </c>
      <c r="F1955" s="1">
        <v>2.5</v>
      </c>
      <c r="G1955" s="1">
        <v>1</v>
      </c>
      <c r="H1955" s="2">
        <v>0.72539393459498003</v>
      </c>
      <c r="I1955" s="2">
        <v>1.0332423420368486</v>
      </c>
      <c r="J1955" s="3">
        <v>28143</v>
      </c>
      <c r="K1955">
        <v>1.3352172377251854</v>
      </c>
      <c r="L1955">
        <v>4.574355351465913</v>
      </c>
      <c r="M1955">
        <v>7.7</v>
      </c>
    </row>
    <row r="1956" spans="1:15" x14ac:dyDescent="0.25">
      <c r="A1956" t="s">
        <v>400</v>
      </c>
      <c r="B1956" s="1" t="s">
        <v>335</v>
      </c>
      <c r="C1956" s="1">
        <v>2016</v>
      </c>
      <c r="D1956" s="1">
        <v>2</v>
      </c>
      <c r="E1956" s="1">
        <v>3</v>
      </c>
      <c r="F1956" s="1">
        <v>2.5</v>
      </c>
      <c r="G1956" s="1">
        <v>1</v>
      </c>
      <c r="H1956" s="2">
        <v>0.44336889705362797</v>
      </c>
      <c r="I1956" s="2">
        <v>1.0188057601264735</v>
      </c>
      <c r="J1956" s="6">
        <v>28310</v>
      </c>
      <c r="K1956" s="7">
        <v>1.3352172377251854</v>
      </c>
      <c r="L1956" s="7">
        <v>4.574355351465913</v>
      </c>
      <c r="M1956">
        <v>7.8</v>
      </c>
      <c r="O1956" s="7"/>
    </row>
    <row r="1957" spans="1:15" x14ac:dyDescent="0.25">
      <c r="A1957" t="s">
        <v>400</v>
      </c>
      <c r="B1957" s="1" t="s">
        <v>335</v>
      </c>
      <c r="C1957" s="1">
        <v>2017</v>
      </c>
      <c r="D1957" s="1">
        <v>2</v>
      </c>
      <c r="E1957" s="1">
        <v>3</v>
      </c>
      <c r="F1957" s="1">
        <v>2.5</v>
      </c>
      <c r="G1957" s="1">
        <v>1</v>
      </c>
      <c r="H1957" s="12">
        <v>0.68267584006348803</v>
      </c>
      <c r="I1957" s="12">
        <v>1.0095631868696604</v>
      </c>
      <c r="J1957" s="3">
        <v>28853</v>
      </c>
      <c r="K1957">
        <v>1.3352172377251854</v>
      </c>
      <c r="L1957">
        <v>4.574355351465913</v>
      </c>
      <c r="M1957">
        <v>7.9</v>
      </c>
    </row>
    <row r="1958" spans="1:15" x14ac:dyDescent="0.25">
      <c r="A1958" s="8" t="s">
        <v>400</v>
      </c>
      <c r="B1958" s="1" t="s">
        <v>335</v>
      </c>
      <c r="C1958" s="1">
        <v>2018</v>
      </c>
      <c r="D1958" s="1">
        <v>2</v>
      </c>
      <c r="E1958" s="1">
        <v>3</v>
      </c>
      <c r="F1958" s="1">
        <v>2.5</v>
      </c>
      <c r="G1958" s="1">
        <v>1</v>
      </c>
      <c r="H1958" s="12">
        <v>0.72647965467369602</v>
      </c>
      <c r="I1958" s="12">
        <v>1.0134816194436371</v>
      </c>
      <c r="J1958" s="3">
        <v>29087</v>
      </c>
      <c r="K1958">
        <v>1.3352172377251854</v>
      </c>
      <c r="L1958">
        <v>4.574355351465913</v>
      </c>
      <c r="M1958">
        <v>8</v>
      </c>
    </row>
    <row r="1959" spans="1:15" x14ac:dyDescent="0.25">
      <c r="A1959" s="8" t="s">
        <v>401</v>
      </c>
      <c r="B1959" s="1" t="s">
        <v>335</v>
      </c>
      <c r="C1959" s="1">
        <v>2014</v>
      </c>
      <c r="D1959" s="1">
        <v>2</v>
      </c>
      <c r="E1959" s="1">
        <v>2</v>
      </c>
      <c r="F1959" s="1">
        <v>2</v>
      </c>
      <c r="G1959" s="1">
        <v>0</v>
      </c>
      <c r="J1959" s="3">
        <v>33729</v>
      </c>
      <c r="K1959">
        <v>1.6490863170405587</v>
      </c>
      <c r="L1959">
        <v>4.4035061655028969</v>
      </c>
      <c r="M1959">
        <v>278.89999999999998</v>
      </c>
    </row>
    <row r="1960" spans="1:15" x14ac:dyDescent="0.25">
      <c r="A1960" s="8" t="s">
        <v>401</v>
      </c>
      <c r="B1960" s="1" t="s">
        <v>335</v>
      </c>
      <c r="C1960" s="1">
        <v>2015</v>
      </c>
      <c r="D1960" s="1">
        <v>2</v>
      </c>
      <c r="E1960" s="1">
        <v>2</v>
      </c>
      <c r="F1960" s="1">
        <v>2</v>
      </c>
      <c r="G1960" s="1">
        <v>0</v>
      </c>
      <c r="H1960" s="2">
        <v>0.81776991932810295</v>
      </c>
      <c r="I1960" s="2">
        <v>0.9974279201577132</v>
      </c>
      <c r="J1960" s="3">
        <v>34005</v>
      </c>
      <c r="K1960">
        <v>1.6490863170405587</v>
      </c>
      <c r="L1960">
        <v>4.4035061655028969</v>
      </c>
      <c r="M1960">
        <v>281.2</v>
      </c>
    </row>
    <row r="1961" spans="1:15" x14ac:dyDescent="0.25">
      <c r="A1961" t="s">
        <v>401</v>
      </c>
      <c r="B1961" s="1" t="s">
        <v>335</v>
      </c>
      <c r="C1961" s="1">
        <v>2016</v>
      </c>
      <c r="D1961" s="1">
        <v>2</v>
      </c>
      <c r="E1961" s="1">
        <v>2</v>
      </c>
      <c r="F1961" s="1">
        <v>2</v>
      </c>
      <c r="G1961" s="1">
        <v>0</v>
      </c>
      <c r="H1961" s="2">
        <v>1.2186356986100999</v>
      </c>
      <c r="I1961" s="2">
        <v>0.97734386216798275</v>
      </c>
      <c r="J1961" s="6">
        <v>33655</v>
      </c>
      <c r="K1961" s="7">
        <v>1.6490863170405587</v>
      </c>
      <c r="L1961" s="7">
        <v>4.4035061655028969</v>
      </c>
      <c r="M1961">
        <v>283.10000000000002</v>
      </c>
      <c r="O1961" s="7"/>
    </row>
    <row r="1962" spans="1:15" x14ac:dyDescent="0.25">
      <c r="A1962" t="s">
        <v>401</v>
      </c>
      <c r="B1962" s="1" t="s">
        <v>335</v>
      </c>
      <c r="C1962" s="1">
        <v>2017</v>
      </c>
      <c r="D1962" s="1">
        <v>2</v>
      </c>
      <c r="E1962" s="1">
        <v>2</v>
      </c>
      <c r="F1962" s="1">
        <v>2</v>
      </c>
      <c r="G1962" s="1">
        <v>0</v>
      </c>
      <c r="H1962" s="12">
        <v>0.91266666666666696</v>
      </c>
      <c r="I1962" s="12">
        <v>0.95664238981555749</v>
      </c>
      <c r="J1962" s="3">
        <v>34569</v>
      </c>
      <c r="K1962">
        <v>1.6490863170405587</v>
      </c>
      <c r="L1962">
        <v>4.4035061655028969</v>
      </c>
      <c r="M1962">
        <v>285.8</v>
      </c>
    </row>
    <row r="1963" spans="1:15" x14ac:dyDescent="0.25">
      <c r="A1963" s="8" t="s">
        <v>401</v>
      </c>
      <c r="B1963" s="1" t="s">
        <v>335</v>
      </c>
      <c r="C1963" s="1">
        <v>2018</v>
      </c>
      <c r="D1963" s="1">
        <v>2</v>
      </c>
      <c r="E1963" s="1">
        <v>2</v>
      </c>
      <c r="F1963" s="1">
        <v>2</v>
      </c>
      <c r="G1963" s="1">
        <v>0</v>
      </c>
      <c r="H1963" s="12">
        <v>0.90418181818181798</v>
      </c>
      <c r="I1963" s="12">
        <v>0.99529257640225</v>
      </c>
      <c r="J1963" s="3">
        <v>34862</v>
      </c>
      <c r="K1963">
        <v>1.6490863170405587</v>
      </c>
      <c r="L1963">
        <v>4.4035061655028969</v>
      </c>
      <c r="M1963">
        <v>288.2</v>
      </c>
    </row>
    <row r="1964" spans="1:15" x14ac:dyDescent="0.25">
      <c r="A1964" s="8" t="s">
        <v>402</v>
      </c>
      <c r="B1964" s="1" t="s">
        <v>335</v>
      </c>
      <c r="C1964" s="1">
        <v>2014</v>
      </c>
      <c r="D1964" s="1">
        <v>2</v>
      </c>
      <c r="E1964" s="1">
        <v>3</v>
      </c>
      <c r="F1964" s="1">
        <v>2.5</v>
      </c>
      <c r="G1964" s="1">
        <v>1</v>
      </c>
      <c r="J1964" s="3">
        <v>42948</v>
      </c>
      <c r="K1964">
        <v>1.4981621923416926</v>
      </c>
      <c r="L1964">
        <v>3.8384590331735913</v>
      </c>
      <c r="M1964">
        <v>4</v>
      </c>
    </row>
    <row r="1965" spans="1:15" x14ac:dyDescent="0.25">
      <c r="A1965" s="8" t="s">
        <v>402</v>
      </c>
      <c r="B1965" s="1" t="s">
        <v>335</v>
      </c>
      <c r="C1965" s="1">
        <v>2015</v>
      </c>
      <c r="D1965" s="1">
        <v>2</v>
      </c>
      <c r="E1965" s="1">
        <v>3</v>
      </c>
      <c r="F1965" s="1">
        <v>2.5</v>
      </c>
      <c r="G1965" s="1">
        <v>1</v>
      </c>
      <c r="H1965" s="2">
        <v>0.69399449533005497</v>
      </c>
      <c r="I1965" s="2">
        <v>1.0923644991868617</v>
      </c>
      <c r="J1965" s="3">
        <v>43172</v>
      </c>
      <c r="K1965">
        <v>1.4981621923416926</v>
      </c>
      <c r="L1965">
        <v>3.8384590331735913</v>
      </c>
      <c r="M1965">
        <v>4</v>
      </c>
    </row>
    <row r="1966" spans="1:15" x14ac:dyDescent="0.25">
      <c r="A1966" t="s">
        <v>402</v>
      </c>
      <c r="B1966" s="1" t="s">
        <v>335</v>
      </c>
      <c r="C1966" s="1">
        <v>2016</v>
      </c>
      <c r="D1966" s="1">
        <v>2</v>
      </c>
      <c r="E1966" s="1">
        <v>3</v>
      </c>
      <c r="F1966" s="1">
        <v>2.5</v>
      </c>
      <c r="G1966" s="1">
        <v>1</v>
      </c>
      <c r="H1966" s="2">
        <v>0.94651625746516299</v>
      </c>
      <c r="I1966" s="2">
        <v>1.2021850899742927</v>
      </c>
      <c r="J1966" s="6">
        <v>42986</v>
      </c>
      <c r="K1966" s="7">
        <v>1.4981621923416926</v>
      </c>
      <c r="L1966" s="7">
        <v>3.8384590331735913</v>
      </c>
      <c r="M1966">
        <v>4</v>
      </c>
      <c r="O1966" s="7"/>
    </row>
    <row r="1967" spans="1:15" x14ac:dyDescent="0.25">
      <c r="A1967" t="s">
        <v>402</v>
      </c>
      <c r="B1967" s="1" t="s">
        <v>335</v>
      </c>
      <c r="C1967" s="1">
        <v>2017</v>
      </c>
      <c r="D1967" s="1">
        <v>2</v>
      </c>
      <c r="E1967" s="1">
        <v>3</v>
      </c>
      <c r="F1967" s="1">
        <v>2.5</v>
      </c>
      <c r="G1967" s="1">
        <v>1</v>
      </c>
      <c r="H1967" s="12">
        <v>1.05738633788133</v>
      </c>
      <c r="I1967" s="12">
        <v>1.0668492567873002</v>
      </c>
      <c r="J1967" s="3">
        <v>43801</v>
      </c>
      <c r="K1967">
        <v>1.4981621923416926</v>
      </c>
      <c r="L1967">
        <v>3.8384590331735913</v>
      </c>
      <c r="M1967">
        <v>4</v>
      </c>
    </row>
    <row r="1968" spans="1:15" x14ac:dyDescent="0.25">
      <c r="A1968" s="8" t="s">
        <v>402</v>
      </c>
      <c r="B1968" s="1" t="s">
        <v>335</v>
      </c>
      <c r="C1968" s="1">
        <v>2018</v>
      </c>
      <c r="D1968" s="1">
        <v>2</v>
      </c>
      <c r="E1968" s="1">
        <v>3</v>
      </c>
      <c r="F1968" s="1">
        <v>2.5</v>
      </c>
      <c r="G1968" s="1">
        <v>1</v>
      </c>
      <c r="H1968" s="12">
        <v>0.77068957841784302</v>
      </c>
      <c r="I1968" s="12">
        <v>1.0293117553817048</v>
      </c>
      <c r="J1968" s="3">
        <v>44019</v>
      </c>
      <c r="K1968">
        <v>1.4981621923416926</v>
      </c>
      <c r="L1968">
        <v>3.8384590331735913</v>
      </c>
      <c r="M1968">
        <v>4.0999999999999996</v>
      </c>
    </row>
    <row r="1969" spans="1:15" x14ac:dyDescent="0.25">
      <c r="A1969" s="8" t="s">
        <v>403</v>
      </c>
      <c r="B1969" s="1" t="s">
        <v>335</v>
      </c>
      <c r="C1969" s="1">
        <v>2014</v>
      </c>
      <c r="D1969" s="1">
        <v>3</v>
      </c>
      <c r="E1969" s="1">
        <v>4</v>
      </c>
      <c r="F1969" s="1">
        <v>3.5</v>
      </c>
      <c r="G1969" s="1">
        <v>1</v>
      </c>
      <c r="J1969" s="3">
        <v>4038</v>
      </c>
      <c r="K1969">
        <v>0.76824583866837381</v>
      </c>
      <c r="L1969">
        <v>2.0998719590268884</v>
      </c>
      <c r="M1969">
        <v>0.4</v>
      </c>
    </row>
    <row r="1970" spans="1:15" x14ac:dyDescent="0.25">
      <c r="A1970" s="8" t="s">
        <v>403</v>
      </c>
      <c r="B1970" s="1" t="s">
        <v>335</v>
      </c>
      <c r="C1970" s="1">
        <v>2015</v>
      </c>
      <c r="D1970" s="1">
        <v>3</v>
      </c>
      <c r="E1970" s="1">
        <v>4</v>
      </c>
      <c r="F1970" s="1">
        <v>3.5</v>
      </c>
      <c r="G1970" s="1">
        <v>1</v>
      </c>
      <c r="H1970" s="2">
        <v>0.63995197358547196</v>
      </c>
      <c r="I1970" s="2">
        <v>1.0316040851582746</v>
      </c>
      <c r="J1970" s="3">
        <v>3974</v>
      </c>
      <c r="K1970">
        <v>0.76824583866837381</v>
      </c>
      <c r="L1970">
        <v>2.0998719590268884</v>
      </c>
      <c r="M1970">
        <v>0.4</v>
      </c>
    </row>
    <row r="1971" spans="1:15" x14ac:dyDescent="0.25">
      <c r="A1971" t="s">
        <v>403</v>
      </c>
      <c r="B1971" s="1" t="s">
        <v>335</v>
      </c>
      <c r="C1971" s="1">
        <v>2016</v>
      </c>
      <c r="D1971" s="1">
        <v>3</v>
      </c>
      <c r="E1971" s="1">
        <v>4</v>
      </c>
      <c r="F1971" s="1">
        <v>3.5</v>
      </c>
      <c r="G1971" s="1">
        <v>1</v>
      </c>
      <c r="H1971" s="2">
        <v>0.94336089873615203</v>
      </c>
      <c r="I1971" s="2">
        <v>0.80057782592993854</v>
      </c>
      <c r="J1971" s="6">
        <v>3905</v>
      </c>
      <c r="K1971" s="7">
        <v>0.76824583866837381</v>
      </c>
      <c r="L1971" s="7">
        <v>2.0998719590268884</v>
      </c>
      <c r="M1971">
        <v>0.4</v>
      </c>
      <c r="O1971" s="7"/>
    </row>
    <row r="1972" spans="1:15" x14ac:dyDescent="0.25">
      <c r="A1972" t="s">
        <v>403</v>
      </c>
      <c r="B1972" s="1" t="s">
        <v>335</v>
      </c>
      <c r="C1972" s="1">
        <v>2017</v>
      </c>
      <c r="D1972" s="1">
        <v>3</v>
      </c>
      <c r="E1972" s="1">
        <v>4</v>
      </c>
      <c r="F1972" s="1">
        <v>3.5</v>
      </c>
      <c r="G1972" s="1">
        <v>1</v>
      </c>
      <c r="H1972" s="12">
        <v>0.71485879332477498</v>
      </c>
      <c r="I1972" s="12">
        <v>0.93924929485788666</v>
      </c>
      <c r="J1972" s="3">
        <v>3894</v>
      </c>
      <c r="K1972">
        <v>0.76824583866837381</v>
      </c>
      <c r="L1972">
        <v>2.0998719590268884</v>
      </c>
      <c r="M1972">
        <v>0.4</v>
      </c>
    </row>
    <row r="1973" spans="1:15" x14ac:dyDescent="0.25">
      <c r="A1973" s="8" t="s">
        <v>403</v>
      </c>
      <c r="B1973" s="1" t="s">
        <v>335</v>
      </c>
      <c r="C1973" s="1">
        <v>2018</v>
      </c>
      <c r="D1973" s="1">
        <v>3</v>
      </c>
      <c r="E1973" s="1">
        <v>4</v>
      </c>
      <c r="F1973" s="1">
        <v>3.5</v>
      </c>
      <c r="G1973" s="1">
        <v>1</v>
      </c>
      <c r="H1973" s="12">
        <v>0.73655569782330299</v>
      </c>
      <c r="I1973" s="12">
        <v>0.93781344032096281</v>
      </c>
      <c r="J1973" s="3">
        <v>3862</v>
      </c>
      <c r="K1973">
        <v>0.76824583866837381</v>
      </c>
      <c r="L1973">
        <v>2.0998719590268884</v>
      </c>
      <c r="M1973">
        <v>0.4</v>
      </c>
    </row>
    <row r="1974" spans="1:15" x14ac:dyDescent="0.25">
      <c r="A1974" s="8" t="s">
        <v>404</v>
      </c>
      <c r="B1974" s="1" t="s">
        <v>335</v>
      </c>
      <c r="C1974" s="1">
        <v>2014</v>
      </c>
      <c r="D1974" s="1">
        <v>1</v>
      </c>
      <c r="E1974" s="1">
        <v>1</v>
      </c>
      <c r="F1974" s="1">
        <v>1</v>
      </c>
      <c r="G1974" s="1">
        <v>0</v>
      </c>
      <c r="J1974" s="3">
        <v>164320</v>
      </c>
      <c r="K1974">
        <v>0.22211253701875616</v>
      </c>
      <c r="L1974">
        <v>36.722606120434357</v>
      </c>
      <c r="M1974">
        <v>2556.3000000000002</v>
      </c>
    </row>
    <row r="1975" spans="1:15" x14ac:dyDescent="0.25">
      <c r="A1975" s="8" t="s">
        <v>404</v>
      </c>
      <c r="B1975" s="1" t="s">
        <v>335</v>
      </c>
      <c r="C1975" s="1">
        <v>2015</v>
      </c>
      <c r="D1975" s="1">
        <v>1</v>
      </c>
      <c r="E1975" s="1">
        <v>1</v>
      </c>
      <c r="F1975" s="1">
        <v>1</v>
      </c>
      <c r="G1975" s="1">
        <v>0</v>
      </c>
      <c r="H1975" s="2">
        <v>0.75746598711090496</v>
      </c>
      <c r="I1975" s="2">
        <v>1.1406043704362352</v>
      </c>
      <c r="J1975" s="3">
        <v>166679</v>
      </c>
      <c r="K1975">
        <v>0.22211253701875616</v>
      </c>
      <c r="L1975">
        <v>36.722606120434357</v>
      </c>
      <c r="M1975">
        <v>2593</v>
      </c>
    </row>
    <row r="1976" spans="1:15" x14ac:dyDescent="0.25">
      <c r="A1976" t="s">
        <v>404</v>
      </c>
      <c r="B1976" s="1" t="s">
        <v>335</v>
      </c>
      <c r="C1976" s="1">
        <v>2016</v>
      </c>
      <c r="D1976" s="1">
        <v>1</v>
      </c>
      <c r="E1976" s="1">
        <v>1</v>
      </c>
      <c r="F1976" s="1">
        <v>1</v>
      </c>
      <c r="G1976" s="1">
        <v>0</v>
      </c>
      <c r="H1976" s="2">
        <v>1.03303773974015</v>
      </c>
      <c r="I1976" s="2">
        <v>1.2633235309291644</v>
      </c>
      <c r="J1976" s="6">
        <v>162080</v>
      </c>
      <c r="K1976" s="7">
        <v>0.22211253701875616</v>
      </c>
      <c r="L1976" s="7">
        <v>36.722606120434357</v>
      </c>
      <c r="M1976">
        <v>2639.1</v>
      </c>
      <c r="O1976" s="7"/>
    </row>
    <row r="1977" spans="1:15" x14ac:dyDescent="0.25">
      <c r="A1977" t="s">
        <v>404</v>
      </c>
      <c r="B1977" s="1" t="s">
        <v>335</v>
      </c>
      <c r="C1977" s="1">
        <v>2017</v>
      </c>
      <c r="D1977" s="1">
        <v>1</v>
      </c>
      <c r="E1977" s="1">
        <v>1</v>
      </c>
      <c r="F1977" s="1">
        <v>1</v>
      </c>
      <c r="G1977" s="1">
        <v>0</v>
      </c>
      <c r="H1977" s="12">
        <v>1.0862918160684001</v>
      </c>
      <c r="I1977" s="12">
        <v>1.1109722290975694</v>
      </c>
      <c r="J1977" s="3">
        <v>173263</v>
      </c>
      <c r="K1977">
        <v>0.22211253701875616</v>
      </c>
      <c r="L1977">
        <v>36.722606120434357</v>
      </c>
      <c r="M1977">
        <v>2695.4</v>
      </c>
    </row>
    <row r="1978" spans="1:15" x14ac:dyDescent="0.25">
      <c r="A1978" s="8" t="s">
        <v>404</v>
      </c>
      <c r="B1978" s="1" t="s">
        <v>335</v>
      </c>
      <c r="C1978" s="1">
        <v>2018</v>
      </c>
      <c r="D1978" s="1">
        <v>1</v>
      </c>
      <c r="E1978" s="1">
        <v>1</v>
      </c>
      <c r="F1978" s="1">
        <v>1</v>
      </c>
      <c r="G1978" s="1">
        <v>0</v>
      </c>
      <c r="H1978" s="12">
        <v>1.4481853281853301</v>
      </c>
      <c r="I1978" s="12">
        <v>1.1000329559097008</v>
      </c>
      <c r="J1978" s="3">
        <v>176196</v>
      </c>
      <c r="K1978">
        <v>0.22211253701875616</v>
      </c>
      <c r="L1978">
        <v>36.722606120434357</v>
      </c>
      <c r="M1978">
        <v>2741.1</v>
      </c>
    </row>
    <row r="1979" spans="1:15" x14ac:dyDescent="0.25">
      <c r="A1979" s="8" t="s">
        <v>405</v>
      </c>
      <c r="B1979" s="1" t="s">
        <v>335</v>
      </c>
      <c r="C1979" s="1">
        <v>2014</v>
      </c>
      <c r="D1979" s="1">
        <v>1</v>
      </c>
      <c r="E1979" s="1">
        <v>2</v>
      </c>
      <c r="F1979" s="1">
        <v>1.5</v>
      </c>
      <c r="G1979" s="1">
        <v>1</v>
      </c>
      <c r="J1979" s="3">
        <v>187899</v>
      </c>
      <c r="K1979">
        <v>0.82687731024355671</v>
      </c>
      <c r="L1979">
        <v>44.045268114841257</v>
      </c>
      <c r="M1979">
        <v>383.7</v>
      </c>
    </row>
    <row r="1980" spans="1:15" x14ac:dyDescent="0.25">
      <c r="A1980" s="8" t="s">
        <v>405</v>
      </c>
      <c r="B1980" s="1" t="s">
        <v>335</v>
      </c>
      <c r="C1980" s="1">
        <v>2015</v>
      </c>
      <c r="D1980" s="1">
        <v>1</v>
      </c>
      <c r="E1980" s="1">
        <v>2</v>
      </c>
      <c r="F1980" s="1">
        <v>1.5</v>
      </c>
      <c r="G1980" s="1">
        <v>1</v>
      </c>
      <c r="H1980" s="2">
        <v>0.120576220167706</v>
      </c>
      <c r="I1980" s="2">
        <v>1.0542648580296585</v>
      </c>
      <c r="J1980" s="3">
        <v>196847</v>
      </c>
      <c r="K1980">
        <v>0.82687731024355671</v>
      </c>
      <c r="L1980">
        <v>44.045268114841257</v>
      </c>
      <c r="M1980">
        <v>402</v>
      </c>
    </row>
    <row r="1981" spans="1:15" x14ac:dyDescent="0.25">
      <c r="A1981" t="s">
        <v>405</v>
      </c>
      <c r="B1981" s="1" t="s">
        <v>335</v>
      </c>
      <c r="C1981" s="1">
        <v>2016</v>
      </c>
      <c r="D1981" s="1">
        <v>1</v>
      </c>
      <c r="E1981" s="1">
        <v>2</v>
      </c>
      <c r="F1981" s="1">
        <v>1.5</v>
      </c>
      <c r="G1981" s="1">
        <v>1</v>
      </c>
      <c r="H1981" s="2">
        <v>0.25173040485673398</v>
      </c>
      <c r="I1981" s="2">
        <v>1.1590610939448152</v>
      </c>
      <c r="J1981" s="6">
        <v>197490</v>
      </c>
      <c r="K1981" s="7">
        <v>0.82687731024355671</v>
      </c>
      <c r="L1981" s="7">
        <v>44.045268114841257</v>
      </c>
      <c r="M1981">
        <v>422.8</v>
      </c>
      <c r="O1981" s="7"/>
    </row>
    <row r="1982" spans="1:15" x14ac:dyDescent="0.25">
      <c r="A1982" t="s">
        <v>405</v>
      </c>
      <c r="B1982" s="1" t="s">
        <v>335</v>
      </c>
      <c r="C1982" s="1">
        <v>2017</v>
      </c>
      <c r="D1982" s="1">
        <v>1</v>
      </c>
      <c r="E1982" s="1">
        <v>2</v>
      </c>
      <c r="F1982" s="1">
        <v>1.5</v>
      </c>
      <c r="G1982" s="1">
        <v>1</v>
      </c>
      <c r="H1982" s="12">
        <v>0.51797153707468602</v>
      </c>
      <c r="I1982" s="12">
        <v>0.98987199031052264</v>
      </c>
      <c r="J1982" s="3">
        <v>215686</v>
      </c>
      <c r="K1982">
        <v>0.82687731024355671</v>
      </c>
      <c r="L1982">
        <v>44.045268114841257</v>
      </c>
      <c r="M1982">
        <v>440.5</v>
      </c>
    </row>
    <row r="1983" spans="1:15" x14ac:dyDescent="0.25">
      <c r="A1983" s="8" t="s">
        <v>405</v>
      </c>
      <c r="B1983" s="1" t="s">
        <v>335</v>
      </c>
      <c r="C1983" s="1">
        <v>2018</v>
      </c>
      <c r="D1983" s="1">
        <v>1</v>
      </c>
      <c r="E1983" s="1">
        <v>2</v>
      </c>
      <c r="F1983" s="1">
        <v>1.5</v>
      </c>
      <c r="G1983" s="1">
        <v>1</v>
      </c>
      <c r="H1983" s="12">
        <v>0.44527254128306298</v>
      </c>
      <c r="I1983" s="12">
        <v>0.98207294047500748</v>
      </c>
      <c r="J1983" s="3">
        <v>223322</v>
      </c>
      <c r="K1983">
        <v>0.82687731024355671</v>
      </c>
      <c r="L1983">
        <v>44.045268114841257</v>
      </c>
      <c r="M1983">
        <v>456</v>
      </c>
    </row>
    <row r="1984" spans="1:15" x14ac:dyDescent="0.25">
      <c r="A1984" s="8" t="s">
        <v>406</v>
      </c>
      <c r="B1984" s="1" t="s">
        <v>335</v>
      </c>
      <c r="C1984" s="1">
        <v>2014</v>
      </c>
      <c r="D1984" s="1">
        <v>2</v>
      </c>
      <c r="E1984" s="1">
        <v>2</v>
      </c>
      <c r="F1984" s="1">
        <v>2</v>
      </c>
      <c r="G1984" s="1">
        <v>0</v>
      </c>
      <c r="J1984" s="3">
        <v>38369</v>
      </c>
      <c r="K1984">
        <v>2.4932015147279336</v>
      </c>
      <c r="L1984">
        <v>6.0004574681678395</v>
      </c>
      <c r="M1984">
        <v>88.7</v>
      </c>
    </row>
    <row r="1985" spans="1:15" x14ac:dyDescent="0.25">
      <c r="A1985" s="8" t="s">
        <v>406</v>
      </c>
      <c r="B1985" s="1" t="s">
        <v>335</v>
      </c>
      <c r="C1985" s="1">
        <v>2015</v>
      </c>
      <c r="D1985" s="1">
        <v>2</v>
      </c>
      <c r="E1985" s="1">
        <v>2</v>
      </c>
      <c r="F1985" s="1">
        <v>2</v>
      </c>
      <c r="G1985" s="1">
        <v>0</v>
      </c>
      <c r="H1985" s="2">
        <v>0.34240801913657598</v>
      </c>
      <c r="I1985" s="2">
        <v>1.0239338396377975</v>
      </c>
      <c r="J1985" s="3">
        <v>39223</v>
      </c>
      <c r="K1985">
        <v>2.4932015147279336</v>
      </c>
      <c r="L1985">
        <v>6.0004574681678395</v>
      </c>
      <c r="M1985">
        <v>90.6</v>
      </c>
    </row>
    <row r="1986" spans="1:15" x14ac:dyDescent="0.25">
      <c r="A1986" t="s">
        <v>406</v>
      </c>
      <c r="B1986" s="1" t="s">
        <v>335</v>
      </c>
      <c r="C1986" s="1">
        <v>2016</v>
      </c>
      <c r="D1986" s="1">
        <v>2</v>
      </c>
      <c r="E1986" s="1">
        <v>2</v>
      </c>
      <c r="F1986" s="1">
        <v>2</v>
      </c>
      <c r="G1986" s="1">
        <v>0</v>
      </c>
      <c r="H1986" s="2">
        <v>0.340855362131958</v>
      </c>
      <c r="I1986" s="2">
        <v>1.1000069041701188</v>
      </c>
      <c r="J1986" s="6">
        <v>39347</v>
      </c>
      <c r="K1986" s="7">
        <v>2.4932015147279336</v>
      </c>
      <c r="L1986" s="7">
        <v>6.0004574681678395</v>
      </c>
      <c r="M1986">
        <v>92.7</v>
      </c>
      <c r="O1986" s="7"/>
    </row>
    <row r="1987" spans="1:15" x14ac:dyDescent="0.25">
      <c r="A1987" t="s">
        <v>406</v>
      </c>
      <c r="B1987" s="1" t="s">
        <v>335</v>
      </c>
      <c r="C1987" s="1">
        <v>2017</v>
      </c>
      <c r="D1987" s="1">
        <v>2</v>
      </c>
      <c r="E1987" s="1">
        <v>2</v>
      </c>
      <c r="F1987" s="1">
        <v>2</v>
      </c>
      <c r="G1987" s="1">
        <v>0</v>
      </c>
      <c r="H1987" s="12">
        <v>1.0815058050897199</v>
      </c>
      <c r="I1987" s="12">
        <v>1.0284736481861738</v>
      </c>
      <c r="J1987" s="3">
        <v>40812</v>
      </c>
      <c r="K1987">
        <v>2.4932015147279336</v>
      </c>
      <c r="L1987">
        <v>6.0004574681678395</v>
      </c>
      <c r="M1987">
        <v>94.3</v>
      </c>
    </row>
    <row r="1988" spans="1:15" x14ac:dyDescent="0.25">
      <c r="A1988" s="8" t="s">
        <v>406</v>
      </c>
      <c r="B1988" s="1" t="s">
        <v>335</v>
      </c>
      <c r="C1988" s="1">
        <v>2018</v>
      </c>
      <c r="D1988" s="1">
        <v>2</v>
      </c>
      <c r="E1988" s="1">
        <v>2</v>
      </c>
      <c r="F1988" s="1">
        <v>2</v>
      </c>
      <c r="G1988" s="1">
        <v>0</v>
      </c>
      <c r="H1988" s="12">
        <v>0.81584680655888098</v>
      </c>
      <c r="I1988" s="12">
        <v>1.0374290557971548</v>
      </c>
      <c r="J1988" s="3">
        <v>41429</v>
      </c>
      <c r="K1988">
        <v>2.4932015147279336</v>
      </c>
      <c r="L1988">
        <v>6.0004574681678395</v>
      </c>
      <c r="M1988">
        <v>95.7</v>
      </c>
    </row>
    <row r="1989" spans="1:15" x14ac:dyDescent="0.25">
      <c r="A1989" s="8" t="s">
        <v>407</v>
      </c>
      <c r="B1989" s="1" t="s">
        <v>335</v>
      </c>
      <c r="C1989" s="1">
        <v>2014</v>
      </c>
      <c r="D1989" s="1">
        <v>1</v>
      </c>
      <c r="E1989" s="1">
        <v>2</v>
      </c>
      <c r="F1989" s="1">
        <v>1.5</v>
      </c>
      <c r="G1989" s="1">
        <v>1</v>
      </c>
      <c r="J1989" s="3">
        <v>201512</v>
      </c>
      <c r="K1989">
        <v>0.79818347626636199</v>
      </c>
      <c r="L1989">
        <v>41.074899363479766</v>
      </c>
      <c r="M1989">
        <v>371.7</v>
      </c>
    </row>
    <row r="1990" spans="1:15" x14ac:dyDescent="0.25">
      <c r="A1990" s="8" t="s">
        <v>407</v>
      </c>
      <c r="B1990" s="1" t="s">
        <v>335</v>
      </c>
      <c r="C1990" s="1">
        <v>2015</v>
      </c>
      <c r="D1990" s="1">
        <v>1</v>
      </c>
      <c r="E1990" s="1">
        <v>2</v>
      </c>
      <c r="F1990" s="1">
        <v>1.5</v>
      </c>
      <c r="G1990" s="1">
        <v>1</v>
      </c>
      <c r="H1990" s="2">
        <v>0.82502645351083004</v>
      </c>
      <c r="I1990" s="2">
        <v>0.96146567087816559</v>
      </c>
      <c r="J1990" s="3">
        <v>213815</v>
      </c>
      <c r="K1990">
        <v>0.79818347626636199</v>
      </c>
      <c r="L1990">
        <v>41.074899363479766</v>
      </c>
      <c r="M1990">
        <v>394.4</v>
      </c>
    </row>
    <row r="1991" spans="1:15" x14ac:dyDescent="0.25">
      <c r="A1991" t="s">
        <v>407</v>
      </c>
      <c r="B1991" s="1" t="s">
        <v>335</v>
      </c>
      <c r="C1991" s="1">
        <v>2016</v>
      </c>
      <c r="D1991" s="1">
        <v>1</v>
      </c>
      <c r="E1991" s="1">
        <v>2</v>
      </c>
      <c r="F1991" s="1">
        <v>1.5</v>
      </c>
      <c r="G1991" s="1">
        <v>1</v>
      </c>
      <c r="H1991" s="2">
        <v>0.26718774298304698</v>
      </c>
      <c r="I1991" s="2">
        <v>1.0846446933075746</v>
      </c>
      <c r="J1991" s="6">
        <v>217118</v>
      </c>
      <c r="K1991" s="7">
        <v>0.79818347626636199</v>
      </c>
      <c r="L1991" s="7">
        <v>41.074899363479766</v>
      </c>
      <c r="M1991">
        <v>418.8</v>
      </c>
      <c r="O1991" s="7"/>
    </row>
    <row r="1992" spans="1:15" x14ac:dyDescent="0.25">
      <c r="A1992" t="s">
        <v>407</v>
      </c>
      <c r="B1992" s="1" t="s">
        <v>335</v>
      </c>
      <c r="C1992" s="1">
        <v>2017</v>
      </c>
      <c r="D1992" s="1">
        <v>1</v>
      </c>
      <c r="E1992" s="1">
        <v>2</v>
      </c>
      <c r="F1992" s="1">
        <v>1.5</v>
      </c>
      <c r="G1992" s="1">
        <v>1</v>
      </c>
      <c r="H1992" s="12">
        <v>0.31917550014989798</v>
      </c>
      <c r="I1992" s="12">
        <v>1.0689480352625484</v>
      </c>
      <c r="J1992" s="3">
        <v>241071</v>
      </c>
      <c r="K1992">
        <v>0.79818347626636199</v>
      </c>
      <c r="L1992">
        <v>41.074899363479766</v>
      </c>
      <c r="M1992">
        <v>444.7</v>
      </c>
    </row>
    <row r="1993" spans="1:15" x14ac:dyDescent="0.25">
      <c r="A1993" s="8" t="s">
        <v>407</v>
      </c>
      <c r="B1993" s="1" t="s">
        <v>335</v>
      </c>
      <c r="C1993" s="1">
        <v>2018</v>
      </c>
      <c r="D1993" s="1">
        <v>1</v>
      </c>
      <c r="E1993" s="1">
        <v>2</v>
      </c>
      <c r="F1993" s="1">
        <v>1.5</v>
      </c>
      <c r="G1993" s="1">
        <v>1</v>
      </c>
      <c r="H1993" s="12">
        <v>0.39489365374586999</v>
      </c>
      <c r="I1993" s="12">
        <v>1.0830707969981586</v>
      </c>
      <c r="J1993" s="3">
        <v>255322</v>
      </c>
      <c r="K1993">
        <v>0.79818347626636199</v>
      </c>
      <c r="L1993">
        <v>41.074899363479766</v>
      </c>
      <c r="M1993">
        <v>471</v>
      </c>
    </row>
    <row r="1994" spans="1:15" x14ac:dyDescent="0.25">
      <c r="A1994" s="8" t="s">
        <v>408</v>
      </c>
      <c r="B1994" s="1" t="s">
        <v>335</v>
      </c>
      <c r="C1994" s="1">
        <v>2014</v>
      </c>
      <c r="D1994" s="1">
        <v>1</v>
      </c>
      <c r="E1994" s="1">
        <v>1</v>
      </c>
      <c r="F1994" s="1">
        <v>1</v>
      </c>
      <c r="G1994" s="1">
        <v>0</v>
      </c>
      <c r="J1994" s="3">
        <v>87228</v>
      </c>
      <c r="K1994">
        <v>0.44199787656372619</v>
      </c>
      <c r="L1994">
        <v>22.279924294880672</v>
      </c>
      <c r="M1994">
        <v>4463.5</v>
      </c>
    </row>
    <row r="1995" spans="1:15" x14ac:dyDescent="0.25">
      <c r="A1995" s="8" t="s">
        <v>408</v>
      </c>
      <c r="B1995" s="1" t="s">
        <v>335</v>
      </c>
      <c r="C1995" s="1">
        <v>2015</v>
      </c>
      <c r="D1995" s="1">
        <v>1</v>
      </c>
      <c r="E1995" s="1">
        <v>1</v>
      </c>
      <c r="F1995" s="1">
        <v>1</v>
      </c>
      <c r="G1995" s="1">
        <v>0</v>
      </c>
      <c r="H1995" s="2">
        <v>0.83690022476302195</v>
      </c>
      <c r="I1995" s="2">
        <v>1.021517275298168</v>
      </c>
      <c r="J1995" s="3">
        <v>89923</v>
      </c>
      <c r="K1995">
        <v>0.44199787656372619</v>
      </c>
      <c r="L1995">
        <v>22.279924294880672</v>
      </c>
      <c r="M1995">
        <v>4601.3999999999996</v>
      </c>
    </row>
    <row r="1996" spans="1:15" x14ac:dyDescent="0.25">
      <c r="A1996" t="s">
        <v>408</v>
      </c>
      <c r="B1996" s="1" t="s">
        <v>335</v>
      </c>
      <c r="C1996" s="1">
        <v>2016</v>
      </c>
      <c r="D1996" s="1">
        <v>1</v>
      </c>
      <c r="E1996" s="1">
        <v>1</v>
      </c>
      <c r="F1996" s="1">
        <v>1</v>
      </c>
      <c r="G1996" s="1">
        <v>0</v>
      </c>
      <c r="H1996" s="2">
        <v>0.98766402909519802</v>
      </c>
      <c r="I1996" s="2">
        <v>1.0672966728564162</v>
      </c>
      <c r="J1996" s="6">
        <v>86652</v>
      </c>
      <c r="K1996" s="7">
        <v>0.44199787656372619</v>
      </c>
      <c r="L1996" s="7">
        <v>22.279924294880672</v>
      </c>
      <c r="M1996">
        <v>4753.3999999999996</v>
      </c>
      <c r="O1996" s="7"/>
    </row>
    <row r="1997" spans="1:15" x14ac:dyDescent="0.25">
      <c r="A1997" t="s">
        <v>408</v>
      </c>
      <c r="B1997" s="1" t="s">
        <v>335</v>
      </c>
      <c r="C1997" s="1">
        <v>2017</v>
      </c>
      <c r="D1997" s="1">
        <v>1</v>
      </c>
      <c r="E1997" s="1">
        <v>1</v>
      </c>
      <c r="F1997" s="1">
        <v>1</v>
      </c>
      <c r="G1997" s="1">
        <v>0</v>
      </c>
      <c r="H1997" s="12">
        <v>1.10995596313615</v>
      </c>
      <c r="I1997" s="12">
        <v>1.0524695049031332</v>
      </c>
      <c r="J1997" s="3">
        <v>95994</v>
      </c>
      <c r="K1997">
        <v>0.44199787656372619</v>
      </c>
      <c r="L1997">
        <v>22.279924294880672</v>
      </c>
      <c r="M1997">
        <v>4912.1000000000004</v>
      </c>
    </row>
    <row r="1998" spans="1:15" x14ac:dyDescent="0.25">
      <c r="A1998" s="8" t="s">
        <v>408</v>
      </c>
      <c r="B1998" s="1" t="s">
        <v>335</v>
      </c>
      <c r="C1998" s="1">
        <v>2018</v>
      </c>
      <c r="D1998" s="1">
        <v>1</v>
      </c>
      <c r="E1998" s="1">
        <v>1</v>
      </c>
      <c r="F1998" s="1">
        <v>1</v>
      </c>
      <c r="G1998" s="1">
        <v>0</v>
      </c>
      <c r="H1998" s="12">
        <v>1.06796332561866</v>
      </c>
      <c r="I1998" s="12">
        <v>1.0548640296308187</v>
      </c>
      <c r="J1998" s="3">
        <v>98521</v>
      </c>
      <c r="K1998">
        <v>0.44199787656372619</v>
      </c>
      <c r="L1998">
        <v>22.279924294880672</v>
      </c>
      <c r="M1998">
        <v>5041.3999999999996</v>
      </c>
    </row>
    <row r="1999" spans="1:15" x14ac:dyDescent="0.25">
      <c r="A1999" s="8" t="s">
        <v>409</v>
      </c>
      <c r="B1999" s="1" t="s">
        <v>335</v>
      </c>
      <c r="C1999" s="1">
        <v>2014</v>
      </c>
      <c r="D1999" s="1">
        <v>1</v>
      </c>
      <c r="E1999" s="1">
        <v>2</v>
      </c>
      <c r="F1999" s="1">
        <v>1.5</v>
      </c>
      <c r="G1999" s="1">
        <v>1</v>
      </c>
      <c r="J1999" s="3">
        <v>151968</v>
      </c>
      <c r="K1999">
        <v>0.90543125008358849</v>
      </c>
      <c r="L1999">
        <v>7.1598614436078165</v>
      </c>
      <c r="M1999">
        <v>61.6</v>
      </c>
    </row>
    <row r="2000" spans="1:15" x14ac:dyDescent="0.25">
      <c r="A2000" s="8" t="s">
        <v>409</v>
      </c>
      <c r="B2000" s="1" t="s">
        <v>335</v>
      </c>
      <c r="C2000" s="1">
        <v>2015</v>
      </c>
      <c r="D2000" s="1">
        <v>1</v>
      </c>
      <c r="E2000" s="1">
        <v>2</v>
      </c>
      <c r="F2000" s="1">
        <v>1.5</v>
      </c>
      <c r="G2000" s="1">
        <v>1</v>
      </c>
      <c r="H2000" s="2">
        <v>0.90077702112798996</v>
      </c>
      <c r="I2000" s="2">
        <v>1.069597092393672</v>
      </c>
      <c r="J2000" s="3">
        <v>153391</v>
      </c>
      <c r="K2000">
        <v>0.90543125008358849</v>
      </c>
      <c r="L2000">
        <v>7.1598614436078165</v>
      </c>
      <c r="M2000">
        <v>62.1</v>
      </c>
    </row>
    <row r="2001" spans="1:15" x14ac:dyDescent="0.25">
      <c r="A2001" t="s">
        <v>409</v>
      </c>
      <c r="B2001" s="1" t="s">
        <v>335</v>
      </c>
      <c r="C2001" s="1">
        <v>2016</v>
      </c>
      <c r="D2001" s="1">
        <v>1</v>
      </c>
      <c r="E2001" s="1">
        <v>2</v>
      </c>
      <c r="F2001" s="1">
        <v>1.5</v>
      </c>
      <c r="G2001" s="1">
        <v>1</v>
      </c>
      <c r="H2001" s="2">
        <v>0.67842243510506794</v>
      </c>
      <c r="I2001" s="2">
        <v>1.0630048279781621</v>
      </c>
      <c r="J2001" s="6">
        <v>149542</v>
      </c>
      <c r="K2001" s="7">
        <v>0.90543125008358849</v>
      </c>
      <c r="L2001" s="7">
        <v>7.1598614436078165</v>
      </c>
      <c r="M2001">
        <v>62.9</v>
      </c>
      <c r="O2001" s="7"/>
    </row>
    <row r="2002" spans="1:15" x14ac:dyDescent="0.25">
      <c r="A2002" t="s">
        <v>409</v>
      </c>
      <c r="B2002" s="1" t="s">
        <v>335</v>
      </c>
      <c r="C2002" s="1">
        <v>2017</v>
      </c>
      <c r="D2002" s="1">
        <v>1</v>
      </c>
      <c r="E2002" s="1">
        <v>2</v>
      </c>
      <c r="F2002" s="1">
        <v>1.5</v>
      </c>
      <c r="G2002" s="1">
        <v>1</v>
      </c>
      <c r="H2002" s="12">
        <v>0.96889999603316301</v>
      </c>
      <c r="I2002" s="12">
        <v>1.0761543826729953</v>
      </c>
      <c r="J2002" s="3">
        <v>156869</v>
      </c>
      <c r="K2002">
        <v>0.90543125008358849</v>
      </c>
      <c r="L2002">
        <v>7.1598614436078165</v>
      </c>
      <c r="M2002">
        <v>63.6</v>
      </c>
    </row>
    <row r="2003" spans="1:15" x14ac:dyDescent="0.25">
      <c r="A2003" s="8" t="s">
        <v>409</v>
      </c>
      <c r="B2003" s="1" t="s">
        <v>335</v>
      </c>
      <c r="C2003" s="1">
        <v>2018</v>
      </c>
      <c r="D2003" s="1">
        <v>1</v>
      </c>
      <c r="E2003" s="1">
        <v>2</v>
      </c>
      <c r="F2003" s="1">
        <v>1.5</v>
      </c>
      <c r="G2003" s="1">
        <v>1</v>
      </c>
      <c r="H2003" s="12">
        <v>1.17627235476583</v>
      </c>
      <c r="I2003" s="12">
        <v>1.0742091873469974</v>
      </c>
      <c r="J2003" s="3">
        <v>158173</v>
      </c>
      <c r="K2003">
        <v>0.90543125008358849</v>
      </c>
      <c r="L2003">
        <v>7.1598614436078165</v>
      </c>
      <c r="M2003">
        <v>64.099999999999994</v>
      </c>
    </row>
    <row r="2004" spans="1:15" x14ac:dyDescent="0.25">
      <c r="A2004" s="8" t="s">
        <v>410</v>
      </c>
      <c r="B2004" s="1" t="s">
        <v>335</v>
      </c>
      <c r="C2004" s="1">
        <v>2014</v>
      </c>
      <c r="D2004" s="1">
        <v>3</v>
      </c>
      <c r="E2004" s="1">
        <v>4</v>
      </c>
      <c r="F2004" s="1">
        <v>3.5</v>
      </c>
      <c r="G2004" s="1">
        <v>1</v>
      </c>
      <c r="J2004" s="3">
        <v>6924</v>
      </c>
      <c r="K2004">
        <v>1.1535580524344569</v>
      </c>
      <c r="L2004">
        <v>2.5168539325842696</v>
      </c>
      <c r="M2004">
        <v>0.9</v>
      </c>
    </row>
    <row r="2005" spans="1:15" x14ac:dyDescent="0.25">
      <c r="A2005" s="8" t="s">
        <v>410</v>
      </c>
      <c r="B2005" s="1" t="s">
        <v>335</v>
      </c>
      <c r="C2005" s="1">
        <v>2015</v>
      </c>
      <c r="D2005" s="1">
        <v>3</v>
      </c>
      <c r="E2005" s="1">
        <v>4</v>
      </c>
      <c r="F2005" s="1">
        <v>3.5</v>
      </c>
      <c r="G2005" s="1">
        <v>1</v>
      </c>
      <c r="H2005" s="2">
        <v>0.92372107186358099</v>
      </c>
      <c r="I2005" s="2">
        <v>1.051326684230335</v>
      </c>
      <c r="J2005" s="3">
        <v>6826</v>
      </c>
      <c r="K2005">
        <v>1.1535580524344569</v>
      </c>
      <c r="L2005">
        <v>2.5168539325842696</v>
      </c>
      <c r="M2005">
        <v>0.9</v>
      </c>
    </row>
    <row r="2006" spans="1:15" x14ac:dyDescent="0.25">
      <c r="A2006" t="s">
        <v>410</v>
      </c>
      <c r="B2006" s="1" t="s">
        <v>335</v>
      </c>
      <c r="C2006" s="1">
        <v>2016</v>
      </c>
      <c r="D2006" s="1">
        <v>3</v>
      </c>
      <c r="E2006" s="1">
        <v>4</v>
      </c>
      <c r="F2006" s="1">
        <v>3.5</v>
      </c>
      <c r="G2006" s="1">
        <v>1</v>
      </c>
      <c r="H2006" s="2">
        <v>0.88793103448275901</v>
      </c>
      <c r="I2006" s="2">
        <v>1.1107234747721424</v>
      </c>
      <c r="J2006" s="6">
        <v>6675</v>
      </c>
      <c r="K2006" s="7">
        <v>1.1535580524344569</v>
      </c>
      <c r="L2006" s="7">
        <v>2.5168539325842696</v>
      </c>
      <c r="M2006">
        <v>0.9</v>
      </c>
      <c r="O2006" s="7"/>
    </row>
    <row r="2007" spans="1:15" x14ac:dyDescent="0.25">
      <c r="A2007" t="s">
        <v>410</v>
      </c>
      <c r="B2007" s="1" t="s">
        <v>335</v>
      </c>
      <c r="C2007" s="1">
        <v>2017</v>
      </c>
      <c r="D2007" s="1">
        <v>3</v>
      </c>
      <c r="E2007" s="1">
        <v>4</v>
      </c>
      <c r="F2007" s="1">
        <v>3.5</v>
      </c>
      <c r="G2007" s="1">
        <v>1</v>
      </c>
      <c r="H2007" s="12">
        <v>0.71697828709288303</v>
      </c>
      <c r="I2007" s="12">
        <v>0.94296180010465724</v>
      </c>
      <c r="J2007" s="3">
        <v>6684</v>
      </c>
      <c r="K2007">
        <v>1.1535580524344569</v>
      </c>
      <c r="L2007">
        <v>2.5168539325842696</v>
      </c>
      <c r="M2007">
        <v>0.9</v>
      </c>
    </row>
    <row r="2008" spans="1:15" x14ac:dyDescent="0.25">
      <c r="A2008" s="8" t="s">
        <v>410</v>
      </c>
      <c r="B2008" s="1" t="s">
        <v>335</v>
      </c>
      <c r="C2008" s="1">
        <v>2018</v>
      </c>
      <c r="D2008" s="1">
        <v>3</v>
      </c>
      <c r="E2008" s="1">
        <v>4</v>
      </c>
      <c r="F2008" s="1">
        <v>3.5</v>
      </c>
      <c r="G2008" s="1">
        <v>1</v>
      </c>
      <c r="H2008" s="12">
        <v>0.70721709852144599</v>
      </c>
      <c r="I2008" s="12">
        <v>0.94668744392501303</v>
      </c>
      <c r="J2008" s="3">
        <v>6658</v>
      </c>
      <c r="K2008">
        <v>1.1535580524344569</v>
      </c>
      <c r="L2008">
        <v>2.5168539325842696</v>
      </c>
      <c r="M2008">
        <v>0.9</v>
      </c>
    </row>
    <row r="2009" spans="1:15" x14ac:dyDescent="0.25">
      <c r="A2009" s="8" t="s">
        <v>411</v>
      </c>
      <c r="B2009" s="1" t="s">
        <v>412</v>
      </c>
      <c r="C2009" s="1">
        <v>2014</v>
      </c>
      <c r="D2009" s="1">
        <v>3</v>
      </c>
      <c r="E2009" s="1">
        <v>4</v>
      </c>
      <c r="F2009" s="1">
        <v>3.5</v>
      </c>
      <c r="G2009" s="1">
        <v>1</v>
      </c>
      <c r="H2009" s="5">
        <v>1.0900000000000001</v>
      </c>
      <c r="I2009" s="2">
        <f>1/1.09</f>
        <v>0.9174311926605504</v>
      </c>
      <c r="J2009" s="3">
        <v>36919</v>
      </c>
      <c r="K2009">
        <v>3.3073664069974038</v>
      </c>
      <c r="L2009">
        <v>5.964192975263086</v>
      </c>
      <c r="M2009">
        <v>8.6</v>
      </c>
    </row>
    <row r="2010" spans="1:15" x14ac:dyDescent="0.25">
      <c r="A2010" s="8" t="s">
        <v>411</v>
      </c>
      <c r="B2010" s="1" t="s">
        <v>412</v>
      </c>
      <c r="C2010" s="1">
        <v>2015</v>
      </c>
      <c r="D2010" s="1">
        <v>3</v>
      </c>
      <c r="E2010" s="1">
        <v>4</v>
      </c>
      <c r="F2010" s="1">
        <v>3.5</v>
      </c>
      <c r="G2010" s="1">
        <v>1</v>
      </c>
      <c r="H2010" s="5">
        <v>0.76</v>
      </c>
      <c r="I2010" s="2">
        <f>1/0.99</f>
        <v>1.0101010101010102</v>
      </c>
      <c r="J2010" s="3">
        <v>37206</v>
      </c>
      <c r="K2010">
        <v>3.3073664069974038</v>
      </c>
      <c r="L2010">
        <v>5.964192975263086</v>
      </c>
      <c r="M2010">
        <v>8.6</v>
      </c>
    </row>
    <row r="2011" spans="1:15" x14ac:dyDescent="0.25">
      <c r="A2011" t="s">
        <v>411</v>
      </c>
      <c r="B2011" s="1" t="s">
        <v>412</v>
      </c>
      <c r="C2011" s="1">
        <v>2016</v>
      </c>
      <c r="D2011" s="1">
        <v>3</v>
      </c>
      <c r="E2011" s="1">
        <v>4</v>
      </c>
      <c r="F2011" s="1">
        <v>3.5</v>
      </c>
      <c r="G2011" s="1">
        <v>1</v>
      </c>
      <c r="H2011" s="5">
        <v>0.9</v>
      </c>
      <c r="I2011" s="2">
        <f>1/1.09</f>
        <v>0.9174311926605504</v>
      </c>
      <c r="J2011" s="6">
        <v>36585</v>
      </c>
      <c r="K2011" s="7">
        <v>3.3073664069974038</v>
      </c>
      <c r="L2011" s="7">
        <v>5.964192975263086</v>
      </c>
      <c r="M2011">
        <v>8.6</v>
      </c>
      <c r="O2011" s="7"/>
    </row>
    <row r="2012" spans="1:15" x14ac:dyDescent="0.25">
      <c r="A2012" t="s">
        <v>411</v>
      </c>
      <c r="B2012" s="1" t="s">
        <v>412</v>
      </c>
      <c r="C2012" s="1">
        <v>2017</v>
      </c>
      <c r="D2012" s="1">
        <v>3</v>
      </c>
      <c r="E2012" s="1">
        <v>4</v>
      </c>
      <c r="F2012" s="1">
        <v>3.5</v>
      </c>
      <c r="G2012" s="1">
        <v>1</v>
      </c>
      <c r="H2012" s="5">
        <v>0.83</v>
      </c>
      <c r="I2012" s="2">
        <f>1/1.03</f>
        <v>0.970873786407767</v>
      </c>
      <c r="J2012">
        <v>37555</v>
      </c>
      <c r="K2012">
        <v>3.3073664069974038</v>
      </c>
      <c r="L2012">
        <v>5.964192975263086</v>
      </c>
      <c r="M2012">
        <v>3.2</v>
      </c>
    </row>
    <row r="2013" spans="1:15" x14ac:dyDescent="0.25">
      <c r="A2013" s="8" t="s">
        <v>411</v>
      </c>
      <c r="B2013" s="1" t="s">
        <v>412</v>
      </c>
      <c r="C2013" s="1">
        <v>2018</v>
      </c>
      <c r="D2013" s="1">
        <v>3</v>
      </c>
      <c r="E2013" s="1">
        <v>4</v>
      </c>
      <c r="F2013" s="1">
        <v>3.5</v>
      </c>
      <c r="G2013" s="1">
        <v>1</v>
      </c>
      <c r="H2013" s="5">
        <v>0.78</v>
      </c>
      <c r="I2013" s="2">
        <f>1/1.13</f>
        <v>0.88495575221238942</v>
      </c>
      <c r="J2013" s="3">
        <v>37826</v>
      </c>
      <c r="K2013">
        <v>3.3073664069974038</v>
      </c>
      <c r="L2013">
        <v>5.964192975263086</v>
      </c>
      <c r="M2013">
        <v>8.8000000000000007</v>
      </c>
    </row>
    <row r="2014" spans="1:15" x14ac:dyDescent="0.25">
      <c r="A2014" s="8" t="s">
        <v>413</v>
      </c>
      <c r="B2014" s="1" t="s">
        <v>412</v>
      </c>
      <c r="C2014" s="1">
        <v>2014</v>
      </c>
      <c r="D2014" s="1">
        <v>1</v>
      </c>
      <c r="E2014" s="1">
        <v>2</v>
      </c>
      <c r="F2014" s="1">
        <v>1.5</v>
      </c>
      <c r="G2014" s="1">
        <v>1</v>
      </c>
      <c r="H2014" s="5">
        <v>1.04</v>
      </c>
      <c r="I2014" s="2">
        <f>1/0.85</f>
        <v>1.1764705882352942</v>
      </c>
      <c r="J2014" s="3">
        <v>75559</v>
      </c>
      <c r="K2014">
        <v>2.5503794160510576</v>
      </c>
      <c r="L2014">
        <v>18.738378813005678</v>
      </c>
      <c r="M2014">
        <v>135</v>
      </c>
    </row>
    <row r="2015" spans="1:15" x14ac:dyDescent="0.25">
      <c r="A2015" s="8" t="s">
        <v>413</v>
      </c>
      <c r="B2015" s="1" t="s">
        <v>412</v>
      </c>
      <c r="C2015" s="1">
        <v>2015</v>
      </c>
      <c r="D2015" s="1">
        <v>1</v>
      </c>
      <c r="E2015" s="1">
        <v>2</v>
      </c>
      <c r="F2015" s="1">
        <v>1.5</v>
      </c>
      <c r="G2015" s="1">
        <v>1</v>
      </c>
      <c r="H2015" s="5">
        <v>0.82</v>
      </c>
      <c r="I2015" s="2">
        <f>1/0.87</f>
        <v>1.1494252873563218</v>
      </c>
      <c r="J2015" s="3">
        <v>78848</v>
      </c>
      <c r="K2015">
        <v>2.5503794160510576</v>
      </c>
      <c r="L2015">
        <v>18.738378813005678</v>
      </c>
      <c r="M2015">
        <v>140.9</v>
      </c>
    </row>
    <row r="2016" spans="1:15" x14ac:dyDescent="0.25">
      <c r="A2016" t="s">
        <v>413</v>
      </c>
      <c r="B2016" s="1" t="s">
        <v>412</v>
      </c>
      <c r="C2016" s="1">
        <v>2016</v>
      </c>
      <c r="D2016" s="1">
        <v>1</v>
      </c>
      <c r="E2016" s="1">
        <v>2</v>
      </c>
      <c r="F2016" s="1">
        <v>1.5</v>
      </c>
      <c r="G2016" s="1">
        <v>1</v>
      </c>
      <c r="H2016" s="5">
        <v>0.78</v>
      </c>
      <c r="I2016" s="2">
        <f>1/1.04</f>
        <v>0.96153846153846145</v>
      </c>
      <c r="J2016" s="6">
        <v>79596</v>
      </c>
      <c r="K2016" s="7">
        <v>2.5503794160510576</v>
      </c>
      <c r="L2016" s="7">
        <v>18.738378813005678</v>
      </c>
      <c r="M2016">
        <v>146.6</v>
      </c>
      <c r="O2016" s="7"/>
    </row>
    <row r="2017" spans="1:15" x14ac:dyDescent="0.25">
      <c r="A2017" t="s">
        <v>413</v>
      </c>
      <c r="B2017" s="1" t="s">
        <v>412</v>
      </c>
      <c r="C2017" s="1">
        <v>2017</v>
      </c>
      <c r="D2017" s="1">
        <v>1</v>
      </c>
      <c r="E2017" s="1">
        <v>2</v>
      </c>
      <c r="F2017" s="1">
        <v>1.5</v>
      </c>
      <c r="G2017" s="1">
        <v>1</v>
      </c>
      <c r="H2017" s="5">
        <v>0.52</v>
      </c>
      <c r="I2017" s="5">
        <f>1/0.99</f>
        <v>1.0101010101010102</v>
      </c>
      <c r="J2017">
        <v>84669</v>
      </c>
      <c r="K2017">
        <v>2.5503794160510576</v>
      </c>
      <c r="L2017">
        <v>18.738378813005678</v>
      </c>
      <c r="M2017">
        <v>151.30000000000001</v>
      </c>
    </row>
    <row r="2018" spans="1:15" x14ac:dyDescent="0.25">
      <c r="A2018" s="8" t="s">
        <v>413</v>
      </c>
      <c r="B2018" s="1" t="s">
        <v>412</v>
      </c>
      <c r="C2018" s="1">
        <v>2018</v>
      </c>
      <c r="D2018" s="1">
        <v>1</v>
      </c>
      <c r="E2018" s="1">
        <v>2</v>
      </c>
      <c r="F2018" s="1">
        <v>1.5</v>
      </c>
      <c r="G2018" s="1">
        <v>1</v>
      </c>
      <c r="H2018" s="5">
        <v>0.44</v>
      </c>
      <c r="I2018" s="5">
        <v>1</v>
      </c>
      <c r="J2018" s="3">
        <v>87634</v>
      </c>
      <c r="K2018">
        <v>2.5503794160510576</v>
      </c>
      <c r="L2018">
        <v>18.738378813005678</v>
      </c>
      <c r="M2018">
        <v>156.6</v>
      </c>
    </row>
    <row r="2019" spans="1:15" x14ac:dyDescent="0.25">
      <c r="A2019" s="8" t="s">
        <v>414</v>
      </c>
      <c r="B2019" s="1" t="s">
        <v>412</v>
      </c>
      <c r="C2019" s="1">
        <v>2014</v>
      </c>
      <c r="D2019" s="1">
        <v>5</v>
      </c>
      <c r="E2019" s="1">
        <v>5</v>
      </c>
      <c r="F2019" s="1">
        <v>5</v>
      </c>
      <c r="G2019" s="1">
        <v>0</v>
      </c>
      <c r="H2019" s="5">
        <v>1.05</v>
      </c>
      <c r="I2019" s="2">
        <f>1/0.61</f>
        <v>1.639344262295082</v>
      </c>
      <c r="J2019" s="3">
        <v>12515</v>
      </c>
      <c r="K2019">
        <v>7.8765545831414094</v>
      </c>
      <c r="L2019">
        <v>11.407953324120989</v>
      </c>
      <c r="M2019">
        <v>0.1</v>
      </c>
    </row>
    <row r="2020" spans="1:15" x14ac:dyDescent="0.25">
      <c r="A2020" s="8" t="s">
        <v>414</v>
      </c>
      <c r="B2020" s="1" t="s">
        <v>412</v>
      </c>
      <c r="C2020" s="1">
        <v>2015</v>
      </c>
      <c r="D2020" s="1">
        <v>5</v>
      </c>
      <c r="E2020" s="1">
        <v>5</v>
      </c>
      <c r="F2020" s="1">
        <v>5</v>
      </c>
      <c r="G2020" s="1">
        <v>0</v>
      </c>
      <c r="H2020" s="5">
        <v>1.22</v>
      </c>
      <c r="I2020" s="2">
        <f>1/0.9</f>
        <v>1.1111111111111112</v>
      </c>
      <c r="J2020" s="3">
        <v>13002</v>
      </c>
      <c r="K2020">
        <v>7.8765545831414094</v>
      </c>
      <c r="L2020">
        <v>11.407953324120989</v>
      </c>
      <c r="M2020">
        <v>0.1</v>
      </c>
    </row>
    <row r="2021" spans="1:15" x14ac:dyDescent="0.25">
      <c r="A2021" t="s">
        <v>414</v>
      </c>
      <c r="B2021" s="1" t="s">
        <v>412</v>
      </c>
      <c r="C2021" s="1">
        <v>2016</v>
      </c>
      <c r="D2021" s="1">
        <v>5</v>
      </c>
      <c r="E2021" s="1">
        <v>5</v>
      </c>
      <c r="F2021" s="1">
        <v>5</v>
      </c>
      <c r="G2021" s="1">
        <v>0</v>
      </c>
      <c r="H2021" s="5">
        <v>0.75</v>
      </c>
      <c r="I2021" s="2">
        <f>1/1.15</f>
        <v>0.86956521739130443</v>
      </c>
      <c r="J2021" s="6">
        <v>13026</v>
      </c>
      <c r="K2021" s="7">
        <v>7.8765545831414094</v>
      </c>
      <c r="L2021" s="7">
        <v>11.407953324120989</v>
      </c>
      <c r="M2021">
        <v>0.1</v>
      </c>
      <c r="O2021" s="7"/>
    </row>
    <row r="2022" spans="1:15" x14ac:dyDescent="0.25">
      <c r="A2022" t="s">
        <v>414</v>
      </c>
      <c r="B2022" s="1" t="s">
        <v>412</v>
      </c>
      <c r="C2022" s="1">
        <v>2017</v>
      </c>
      <c r="D2022" s="1">
        <v>5</v>
      </c>
      <c r="E2022" s="1">
        <v>5</v>
      </c>
      <c r="F2022" s="1">
        <v>5</v>
      </c>
      <c r="G2022" s="1">
        <v>0</v>
      </c>
      <c r="H2022" s="5">
        <v>0.73</v>
      </c>
      <c r="I2022" s="2">
        <f>1/1.01</f>
        <v>0.99009900990099009</v>
      </c>
      <c r="J2022">
        <v>13273</v>
      </c>
      <c r="K2022">
        <v>7.8765545831414094</v>
      </c>
      <c r="L2022">
        <v>11.407953324120989</v>
      </c>
      <c r="M2022">
        <v>0.1</v>
      </c>
    </row>
    <row r="2023" spans="1:15" x14ac:dyDescent="0.25">
      <c r="A2023" s="8" t="s">
        <v>414</v>
      </c>
      <c r="B2023" s="1" t="s">
        <v>412</v>
      </c>
      <c r="C2023" s="1">
        <v>2018</v>
      </c>
      <c r="D2023" s="1">
        <v>5</v>
      </c>
      <c r="E2023" s="1">
        <v>5</v>
      </c>
      <c r="F2023" s="1">
        <v>5</v>
      </c>
      <c r="G2023" s="1">
        <v>0</v>
      </c>
      <c r="H2023" s="5">
        <v>0.43</v>
      </c>
      <c r="I2023" s="2">
        <f>1/0.9</f>
        <v>1.1111111111111112</v>
      </c>
      <c r="J2023" s="3">
        <v>13329</v>
      </c>
      <c r="K2023">
        <v>7.8765545831414094</v>
      </c>
      <c r="L2023">
        <v>11.407953324120989</v>
      </c>
      <c r="M2023">
        <v>0.1</v>
      </c>
    </row>
    <row r="2024" spans="1:15" x14ac:dyDescent="0.25">
      <c r="A2024" s="8" t="s">
        <v>415</v>
      </c>
      <c r="B2024" s="1" t="s">
        <v>412</v>
      </c>
      <c r="C2024" s="1">
        <v>2014</v>
      </c>
      <c r="D2024" s="1">
        <v>2</v>
      </c>
      <c r="E2024" s="1">
        <v>3</v>
      </c>
      <c r="F2024" s="1">
        <v>2.5</v>
      </c>
      <c r="G2024" s="1">
        <v>1</v>
      </c>
      <c r="H2024" s="5">
        <v>1.1000000000000001</v>
      </c>
      <c r="I2024" s="2">
        <f>1/1.05</f>
        <v>0.95238095238095233</v>
      </c>
      <c r="J2024" s="3">
        <v>13996</v>
      </c>
      <c r="K2024">
        <v>1.3537209791681279</v>
      </c>
      <c r="L2024">
        <v>6.642351125762783</v>
      </c>
      <c r="M2024">
        <v>6.6</v>
      </c>
    </row>
    <row r="2025" spans="1:15" x14ac:dyDescent="0.25">
      <c r="A2025" s="8" t="s">
        <v>415</v>
      </c>
      <c r="B2025" s="1" t="s">
        <v>412</v>
      </c>
      <c r="C2025" s="1">
        <v>2015</v>
      </c>
      <c r="D2025" s="1">
        <v>2</v>
      </c>
      <c r="E2025" s="1">
        <v>3</v>
      </c>
      <c r="F2025" s="1">
        <v>2.5</v>
      </c>
      <c r="G2025" s="1">
        <v>1</v>
      </c>
      <c r="H2025" s="5">
        <v>0.56999999999999995</v>
      </c>
      <c r="I2025" s="2">
        <f>1/0.95</f>
        <v>1.0526315789473684</v>
      </c>
      <c r="J2025" s="3">
        <v>14419</v>
      </c>
      <c r="K2025">
        <v>1.3537209791681279</v>
      </c>
      <c r="L2025">
        <v>6.642351125762783</v>
      </c>
      <c r="M2025">
        <v>6.8</v>
      </c>
    </row>
    <row r="2026" spans="1:15" x14ac:dyDescent="0.25">
      <c r="A2026" t="s">
        <v>415</v>
      </c>
      <c r="B2026" s="1" t="s">
        <v>412</v>
      </c>
      <c r="C2026" s="1">
        <v>2016</v>
      </c>
      <c r="D2026" s="1">
        <v>2</v>
      </c>
      <c r="E2026" s="1">
        <v>3</v>
      </c>
      <c r="F2026" s="1">
        <v>2.5</v>
      </c>
      <c r="G2026" s="1">
        <v>1</v>
      </c>
      <c r="H2026" s="5">
        <v>0.73</v>
      </c>
      <c r="I2026" s="2">
        <f>1/1.06</f>
        <v>0.94339622641509424</v>
      </c>
      <c r="J2026" s="6">
        <v>14257</v>
      </c>
      <c r="K2026" s="7">
        <v>1.3537209791681279</v>
      </c>
      <c r="L2026" s="7">
        <v>6.642351125762783</v>
      </c>
      <c r="M2026">
        <v>7</v>
      </c>
      <c r="O2026" s="7"/>
    </row>
    <row r="2027" spans="1:15" x14ac:dyDescent="0.25">
      <c r="A2027" t="s">
        <v>415</v>
      </c>
      <c r="B2027" s="1" t="s">
        <v>412</v>
      </c>
      <c r="C2027" s="1">
        <v>2017</v>
      </c>
      <c r="D2027" s="1">
        <v>2</v>
      </c>
      <c r="E2027" s="1">
        <v>3</v>
      </c>
      <c r="F2027" s="1">
        <v>2.5</v>
      </c>
      <c r="G2027" s="1">
        <v>1</v>
      </c>
      <c r="H2027" s="5">
        <v>0.81</v>
      </c>
      <c r="I2027" s="2">
        <f>1/1.01</f>
        <v>0.99009900990099009</v>
      </c>
      <c r="J2027">
        <v>15234</v>
      </c>
      <c r="K2027">
        <v>1.3537209791681279</v>
      </c>
      <c r="L2027">
        <v>6.642351125762783</v>
      </c>
      <c r="M2027">
        <v>7.2</v>
      </c>
    </row>
    <row r="2028" spans="1:15" x14ac:dyDescent="0.25">
      <c r="A2028" s="8" t="s">
        <v>415</v>
      </c>
      <c r="B2028" s="1" t="s">
        <v>412</v>
      </c>
      <c r="C2028" s="1">
        <v>2018</v>
      </c>
      <c r="D2028" s="1">
        <v>2</v>
      </c>
      <c r="E2028" s="1">
        <v>3</v>
      </c>
      <c r="F2028" s="1">
        <v>2.5</v>
      </c>
      <c r="G2028" s="1">
        <v>1</v>
      </c>
      <c r="H2028" s="5">
        <v>0.88</v>
      </c>
      <c r="I2028" s="2">
        <f>1/1.12</f>
        <v>0.89285714285714279</v>
      </c>
      <c r="J2028" s="3">
        <v>15700</v>
      </c>
      <c r="K2028">
        <v>1.3537209791681279</v>
      </c>
      <c r="L2028">
        <v>6.642351125762783</v>
      </c>
      <c r="M2028">
        <v>7.4</v>
      </c>
    </row>
    <row r="2029" spans="1:15" x14ac:dyDescent="0.25">
      <c r="A2029" s="8" t="s">
        <v>416</v>
      </c>
      <c r="B2029" s="1" t="s">
        <v>412</v>
      </c>
      <c r="C2029" s="1">
        <v>2014</v>
      </c>
      <c r="D2029" s="1">
        <v>1</v>
      </c>
      <c r="E2029" s="1">
        <v>1</v>
      </c>
      <c r="F2029" s="1">
        <v>1</v>
      </c>
      <c r="G2029" s="1">
        <v>0</v>
      </c>
      <c r="H2029" s="5">
        <v>0.53</v>
      </c>
      <c r="I2029" s="2">
        <f>1/0.96</f>
        <v>1.0416666666666667</v>
      </c>
      <c r="J2029" s="3">
        <v>16003</v>
      </c>
      <c r="K2029">
        <v>2.5508513880606905</v>
      </c>
      <c r="L2029">
        <v>15.15934539190353</v>
      </c>
      <c r="M2029">
        <v>1546.9</v>
      </c>
    </row>
    <row r="2030" spans="1:15" x14ac:dyDescent="0.25">
      <c r="A2030" s="8" t="s">
        <v>416</v>
      </c>
      <c r="B2030" s="1" t="s">
        <v>412</v>
      </c>
      <c r="C2030" s="1">
        <v>2015</v>
      </c>
      <c r="D2030" s="1">
        <v>1</v>
      </c>
      <c r="E2030" s="1">
        <v>1</v>
      </c>
      <c r="F2030" s="1">
        <v>1</v>
      </c>
      <c r="G2030" s="1">
        <v>0</v>
      </c>
      <c r="H2030" s="5">
        <v>0.83</v>
      </c>
      <c r="I2030" s="2">
        <f>1/-0.99</f>
        <v>-1.0101010101010102</v>
      </c>
      <c r="J2030" s="3">
        <v>15842</v>
      </c>
      <c r="K2030">
        <v>2.5508513880606905</v>
      </c>
      <c r="L2030">
        <v>15.15934539190353</v>
      </c>
      <c r="M2030">
        <v>1531.4</v>
      </c>
    </row>
    <row r="2031" spans="1:15" x14ac:dyDescent="0.25">
      <c r="A2031" t="s">
        <v>416</v>
      </c>
      <c r="B2031" s="1" t="s">
        <v>412</v>
      </c>
      <c r="C2031" s="1">
        <v>2016</v>
      </c>
      <c r="D2031" s="1">
        <v>1</v>
      </c>
      <c r="E2031" s="1">
        <v>1</v>
      </c>
      <c r="F2031" s="1">
        <v>1</v>
      </c>
      <c r="G2031" s="1">
        <v>0</v>
      </c>
      <c r="H2031" s="5">
        <v>0.65</v>
      </c>
      <c r="I2031" s="2">
        <f>1/1.01</f>
        <v>0.99009900990099009</v>
      </c>
      <c r="J2031" s="6">
        <v>15093</v>
      </c>
      <c r="K2031" s="7">
        <v>2.5508513880606905</v>
      </c>
      <c r="L2031" s="7">
        <v>15.15934539190353</v>
      </c>
      <c r="M2031">
        <v>1509.2</v>
      </c>
      <c r="O2031" s="7"/>
    </row>
    <row r="2032" spans="1:15" x14ac:dyDescent="0.25">
      <c r="A2032" t="s">
        <v>416</v>
      </c>
      <c r="B2032" s="1" t="s">
        <v>412</v>
      </c>
      <c r="C2032" s="1">
        <v>2017</v>
      </c>
      <c r="D2032" s="1">
        <v>1</v>
      </c>
      <c r="E2032" s="1">
        <v>1</v>
      </c>
      <c r="F2032" s="1">
        <v>1</v>
      </c>
      <c r="G2032" s="1">
        <v>0</v>
      </c>
      <c r="H2032" s="5">
        <v>0.41</v>
      </c>
      <c r="I2032" s="2">
        <f>1/1.05</f>
        <v>0.95238095238095233</v>
      </c>
      <c r="J2032">
        <v>15617</v>
      </c>
      <c r="K2032">
        <v>2.5508513880606905</v>
      </c>
      <c r="L2032">
        <v>15.15934539190353</v>
      </c>
      <c r="M2032">
        <v>1509.6</v>
      </c>
    </row>
    <row r="2033" spans="1:15" x14ac:dyDescent="0.25">
      <c r="A2033" s="8" t="s">
        <v>416</v>
      </c>
      <c r="B2033" s="1" t="s">
        <v>412</v>
      </c>
      <c r="C2033" s="1">
        <v>2018</v>
      </c>
      <c r="D2033" s="1">
        <v>1</v>
      </c>
      <c r="E2033" s="1">
        <v>1</v>
      </c>
      <c r="F2033" s="1">
        <v>1</v>
      </c>
      <c r="G2033" s="1">
        <v>0</v>
      </c>
      <c r="H2033" s="5">
        <v>0.48</v>
      </c>
      <c r="I2033" s="2">
        <f>1/1.03</f>
        <v>0.970873786407767</v>
      </c>
      <c r="J2033" s="3">
        <v>15739</v>
      </c>
      <c r="K2033">
        <v>2.5508513880606905</v>
      </c>
      <c r="L2033">
        <v>15.15934539190353</v>
      </c>
      <c r="M2033">
        <v>1521.4</v>
      </c>
    </row>
    <row r="2034" spans="1:15" x14ac:dyDescent="0.25">
      <c r="A2034" s="8" t="s">
        <v>417</v>
      </c>
      <c r="B2034" s="1" t="s">
        <v>412</v>
      </c>
      <c r="C2034" s="1">
        <v>2014</v>
      </c>
      <c r="D2034" s="1">
        <v>1</v>
      </c>
      <c r="E2034" s="1">
        <v>1</v>
      </c>
      <c r="F2034" s="1">
        <v>1</v>
      </c>
      <c r="G2034" s="1">
        <v>0</v>
      </c>
      <c r="H2034" s="5">
        <v>1.22</v>
      </c>
      <c r="I2034" s="2">
        <f>1/0.87</f>
        <v>1.1494252873563218</v>
      </c>
      <c r="J2034" s="3">
        <v>69256</v>
      </c>
      <c r="K2034">
        <v>1.3158301635896961</v>
      </c>
      <c r="L2034">
        <v>28.339054334044594</v>
      </c>
      <c r="M2034">
        <v>2000.6</v>
      </c>
    </row>
    <row r="2035" spans="1:15" x14ac:dyDescent="0.25">
      <c r="A2035" s="8" t="s">
        <v>417</v>
      </c>
      <c r="B2035" s="1" t="s">
        <v>412</v>
      </c>
      <c r="C2035" s="1">
        <v>2015</v>
      </c>
      <c r="D2035" s="1">
        <v>1</v>
      </c>
      <c r="E2035" s="1">
        <v>1</v>
      </c>
      <c r="F2035" s="1">
        <v>1</v>
      </c>
      <c r="G2035" s="1">
        <v>0</v>
      </c>
      <c r="H2035" s="5">
        <v>1.4</v>
      </c>
      <c r="I2035" s="2">
        <f>1/0.92</f>
        <v>1.0869565217391304</v>
      </c>
      <c r="J2035" s="3">
        <v>69136</v>
      </c>
      <c r="K2035">
        <v>1.3158301635896961</v>
      </c>
      <c r="L2035">
        <v>28.339054334044594</v>
      </c>
      <c r="M2035">
        <v>1997.2</v>
      </c>
    </row>
    <row r="2036" spans="1:15" x14ac:dyDescent="0.25">
      <c r="A2036" t="s">
        <v>417</v>
      </c>
      <c r="B2036" s="1" t="s">
        <v>412</v>
      </c>
      <c r="C2036" s="1">
        <v>2016</v>
      </c>
      <c r="D2036" s="1">
        <v>1</v>
      </c>
      <c r="E2036" s="1">
        <v>1</v>
      </c>
      <c r="F2036" s="1">
        <v>1</v>
      </c>
      <c r="G2036" s="1">
        <v>0</v>
      </c>
      <c r="H2036" s="5">
        <v>1.3</v>
      </c>
      <c r="I2036" s="2">
        <f>1/1.03</f>
        <v>0.970873786407767</v>
      </c>
      <c r="J2036" s="6">
        <v>64674</v>
      </c>
      <c r="K2036" s="7">
        <v>1.3158301635896961</v>
      </c>
      <c r="L2036" s="7">
        <v>28.339054334044594</v>
      </c>
      <c r="M2036">
        <v>1987.2</v>
      </c>
      <c r="O2036" s="7"/>
    </row>
    <row r="2037" spans="1:15" x14ac:dyDescent="0.25">
      <c r="A2037" t="s">
        <v>417</v>
      </c>
      <c r="B2037" s="1" t="s">
        <v>412</v>
      </c>
      <c r="C2037" s="1">
        <v>2017</v>
      </c>
      <c r="D2037" s="1">
        <v>1</v>
      </c>
      <c r="E2037" s="1">
        <v>1</v>
      </c>
      <c r="F2037" s="1">
        <v>1</v>
      </c>
      <c r="G2037" s="1">
        <v>0</v>
      </c>
      <c r="H2037" s="5">
        <v>1.0900000000000001</v>
      </c>
      <c r="I2037" s="2">
        <f>1/0.99</f>
        <v>1.0101010101010102</v>
      </c>
      <c r="J2037">
        <v>68489</v>
      </c>
      <c r="K2037">
        <v>1.3158301635896961</v>
      </c>
      <c r="L2037">
        <v>28.339054334044594</v>
      </c>
      <c r="M2037">
        <v>1978.5</v>
      </c>
    </row>
    <row r="2038" spans="1:15" x14ac:dyDescent="0.25">
      <c r="A2038" s="8" t="s">
        <v>417</v>
      </c>
      <c r="B2038" s="1" t="s">
        <v>412</v>
      </c>
      <c r="C2038" s="1">
        <v>2018</v>
      </c>
      <c r="D2038" s="1">
        <v>1</v>
      </c>
      <c r="E2038" s="1">
        <v>1</v>
      </c>
      <c r="F2038" s="1">
        <v>1</v>
      </c>
      <c r="G2038" s="1">
        <v>0</v>
      </c>
      <c r="H2038" s="5">
        <v>1.82</v>
      </c>
      <c r="I2038" s="2">
        <f>1/0.99</f>
        <v>1.0101010101010102</v>
      </c>
      <c r="J2038" s="3">
        <v>68232</v>
      </c>
      <c r="K2038">
        <v>1.3158301635896961</v>
      </c>
      <c r="L2038">
        <v>28.339054334044594</v>
      </c>
      <c r="M2038">
        <v>1971.1</v>
      </c>
    </row>
    <row r="2039" spans="1:15" x14ac:dyDescent="0.25">
      <c r="A2039" s="8" t="s">
        <v>418</v>
      </c>
      <c r="B2039" s="1" t="s">
        <v>412</v>
      </c>
      <c r="C2039" s="1">
        <v>2014</v>
      </c>
      <c r="D2039" s="1">
        <v>1</v>
      </c>
      <c r="E2039" s="1">
        <v>1</v>
      </c>
      <c r="F2039" s="1">
        <v>1</v>
      </c>
      <c r="G2039" s="1">
        <v>0</v>
      </c>
      <c r="H2039" s="5">
        <v>1.17</v>
      </c>
      <c r="I2039" s="2">
        <f>1/0.95</f>
        <v>1.0526315789473684</v>
      </c>
      <c r="J2039" s="3">
        <v>40531</v>
      </c>
      <c r="K2039">
        <v>2.5022048632984757</v>
      </c>
      <c r="L2039">
        <v>29.502330855486957</v>
      </c>
      <c r="M2039">
        <v>1017.7</v>
      </c>
    </row>
    <row r="2040" spans="1:15" x14ac:dyDescent="0.25">
      <c r="A2040" s="8" t="s">
        <v>418</v>
      </c>
      <c r="B2040" s="1" t="s">
        <v>412</v>
      </c>
      <c r="C2040" s="1">
        <v>2015</v>
      </c>
      <c r="D2040" s="1">
        <v>1</v>
      </c>
      <c r="E2040" s="1">
        <v>1</v>
      </c>
      <c r="F2040" s="1">
        <v>1</v>
      </c>
      <c r="G2040" s="1">
        <v>0</v>
      </c>
      <c r="H2040" s="5">
        <v>1.1399999999999999</v>
      </c>
      <c r="I2040" s="2">
        <f>1/0.89</f>
        <v>1.1235955056179776</v>
      </c>
      <c r="J2040" s="3">
        <v>41055</v>
      </c>
      <c r="K2040">
        <v>2.5022048632984757</v>
      </c>
      <c r="L2040">
        <v>29.502330855486957</v>
      </c>
      <c r="M2040">
        <v>1030.9000000000001</v>
      </c>
    </row>
    <row r="2041" spans="1:15" x14ac:dyDescent="0.25">
      <c r="A2041" t="s">
        <v>418</v>
      </c>
      <c r="B2041" s="1" t="s">
        <v>412</v>
      </c>
      <c r="C2041" s="1">
        <v>2016</v>
      </c>
      <c r="D2041" s="1">
        <v>1</v>
      </c>
      <c r="E2041" s="1">
        <v>1</v>
      </c>
      <c r="F2041" s="1">
        <v>1</v>
      </c>
      <c r="G2041" s="1">
        <v>0</v>
      </c>
      <c r="H2041" s="5">
        <v>1.1000000000000001</v>
      </c>
      <c r="I2041" s="2">
        <f>1/0.92</f>
        <v>1.0869565217391304</v>
      </c>
      <c r="J2041" s="6">
        <v>39685</v>
      </c>
      <c r="K2041" s="7">
        <v>2.5022048632984757</v>
      </c>
      <c r="L2041" s="7">
        <v>29.502330855486957</v>
      </c>
      <c r="M2041">
        <v>1045.3</v>
      </c>
      <c r="O2041" s="7"/>
    </row>
    <row r="2042" spans="1:15" x14ac:dyDescent="0.25">
      <c r="A2042" t="s">
        <v>418</v>
      </c>
      <c r="B2042" s="1" t="s">
        <v>412</v>
      </c>
      <c r="C2042" s="1">
        <v>2017</v>
      </c>
      <c r="D2042" s="1">
        <v>1</v>
      </c>
      <c r="E2042" s="1">
        <v>1</v>
      </c>
      <c r="F2042" s="1">
        <v>1</v>
      </c>
      <c r="G2042" s="1">
        <v>0</v>
      </c>
      <c r="H2042" s="5">
        <v>1.0900000000000001</v>
      </c>
      <c r="I2042" s="2">
        <f>1/0.93</f>
        <v>1.075268817204301</v>
      </c>
      <c r="J2042">
        <v>41485</v>
      </c>
      <c r="K2042">
        <v>2.5022048632984757</v>
      </c>
      <c r="L2042">
        <v>29.502330855486957</v>
      </c>
      <c r="M2042">
        <v>1041.7</v>
      </c>
    </row>
    <row r="2043" spans="1:15" x14ac:dyDescent="0.25">
      <c r="A2043" s="8" t="s">
        <v>418</v>
      </c>
      <c r="B2043" s="1" t="s">
        <v>412</v>
      </c>
      <c r="C2043" s="1">
        <v>2018</v>
      </c>
      <c r="D2043" s="1">
        <v>1</v>
      </c>
      <c r="E2043" s="1">
        <v>1</v>
      </c>
      <c r="F2043" s="1">
        <v>1</v>
      </c>
      <c r="G2043" s="1">
        <v>0</v>
      </c>
      <c r="H2043" s="5">
        <v>1.05</v>
      </c>
      <c r="I2043" s="2">
        <f>1/0.94</f>
        <v>1.0638297872340425</v>
      </c>
      <c r="J2043" s="3">
        <v>41510</v>
      </c>
      <c r="K2043">
        <v>2.5022048632984757</v>
      </c>
      <c r="L2043">
        <v>29.502330855486957</v>
      </c>
      <c r="M2043">
        <v>1042.3</v>
      </c>
    </row>
    <row r="2044" spans="1:15" x14ac:dyDescent="0.25">
      <c r="A2044" s="8" t="s">
        <v>419</v>
      </c>
      <c r="B2044" s="1" t="s">
        <v>412</v>
      </c>
      <c r="C2044" s="1">
        <v>2014</v>
      </c>
      <c r="D2044" s="1">
        <v>3</v>
      </c>
      <c r="E2044" s="1">
        <v>3</v>
      </c>
      <c r="F2044" s="1">
        <v>3</v>
      </c>
      <c r="G2044" s="1">
        <v>0</v>
      </c>
      <c r="H2044" s="5">
        <v>1.1299999999999999</v>
      </c>
      <c r="I2044" s="2">
        <f>1/1.23</f>
        <v>0.81300813008130079</v>
      </c>
      <c r="J2044" s="3">
        <v>1707</v>
      </c>
      <c r="K2044">
        <v>4.6883933676386507</v>
      </c>
      <c r="L2044">
        <v>4.1166380789022305</v>
      </c>
      <c r="M2044">
        <v>0.7</v>
      </c>
    </row>
    <row r="2045" spans="1:15" x14ac:dyDescent="0.25">
      <c r="A2045" s="8" t="s">
        <v>419</v>
      </c>
      <c r="B2045" s="1" t="s">
        <v>412</v>
      </c>
      <c r="C2045" s="1">
        <v>2015</v>
      </c>
      <c r="D2045" s="1">
        <v>3</v>
      </c>
      <c r="E2045" s="1">
        <v>3</v>
      </c>
      <c r="F2045" s="1">
        <v>3</v>
      </c>
      <c r="G2045" s="1">
        <v>0</v>
      </c>
      <c r="H2045" s="5">
        <v>1.24</v>
      </c>
      <c r="I2045" s="2">
        <f>1/0.72</f>
        <v>1.3888888888888888</v>
      </c>
      <c r="J2045" s="3">
        <v>1732</v>
      </c>
      <c r="K2045">
        <v>4.6883933676386507</v>
      </c>
      <c r="L2045">
        <v>4.1166380789022305</v>
      </c>
      <c r="M2045">
        <v>0.7</v>
      </c>
    </row>
    <row r="2046" spans="1:15" x14ac:dyDescent="0.25">
      <c r="A2046" t="s">
        <v>419</v>
      </c>
      <c r="B2046" s="1" t="s">
        <v>412</v>
      </c>
      <c r="C2046" s="1">
        <v>2016</v>
      </c>
      <c r="D2046" s="1">
        <v>3</v>
      </c>
      <c r="E2046" s="1">
        <v>3</v>
      </c>
      <c r="F2046" s="1">
        <v>3</v>
      </c>
      <c r="G2046" s="1">
        <v>0</v>
      </c>
      <c r="H2046" s="5">
        <v>1.1100000000000001</v>
      </c>
      <c r="I2046" s="2">
        <f>1/1.17</f>
        <v>0.85470085470085477</v>
      </c>
      <c r="J2046" s="6">
        <v>1749</v>
      </c>
      <c r="K2046" s="7">
        <v>4.6883933676386507</v>
      </c>
      <c r="L2046" s="7">
        <v>4.1166380789022305</v>
      </c>
      <c r="M2046">
        <v>0.7</v>
      </c>
      <c r="O2046" s="7"/>
    </row>
    <row r="2047" spans="1:15" x14ac:dyDescent="0.25">
      <c r="A2047" t="s">
        <v>419</v>
      </c>
      <c r="B2047" s="1" t="s">
        <v>412</v>
      </c>
      <c r="C2047" s="1">
        <v>2017</v>
      </c>
      <c r="D2047" s="1">
        <v>3</v>
      </c>
      <c r="E2047" s="1">
        <v>3</v>
      </c>
      <c r="F2047" s="1">
        <v>3</v>
      </c>
      <c r="G2047" s="1">
        <v>0</v>
      </c>
      <c r="H2047" s="5">
        <v>0.98</v>
      </c>
      <c r="I2047" s="2">
        <f>1/0.89</f>
        <v>1.1235955056179776</v>
      </c>
      <c r="J2047">
        <v>1746</v>
      </c>
      <c r="K2047">
        <v>4.6883933676386507</v>
      </c>
      <c r="L2047">
        <v>4.1166380789022305</v>
      </c>
      <c r="M2047">
        <v>0.7</v>
      </c>
    </row>
    <row r="2048" spans="1:15" x14ac:dyDescent="0.25">
      <c r="A2048" s="8" t="s">
        <v>419</v>
      </c>
      <c r="B2048" s="1" t="s">
        <v>412</v>
      </c>
      <c r="C2048" s="1">
        <v>2018</v>
      </c>
      <c r="D2048" s="1">
        <v>3</v>
      </c>
      <c r="E2048" s="1">
        <v>3</v>
      </c>
      <c r="F2048" s="1">
        <v>3</v>
      </c>
      <c r="G2048" s="1">
        <v>0</v>
      </c>
      <c r="H2048" s="5">
        <v>0.79</v>
      </c>
      <c r="I2048" s="2">
        <f>1/0.84</f>
        <v>1.1904761904761905</v>
      </c>
      <c r="J2048" s="3">
        <v>1748</v>
      </c>
      <c r="K2048">
        <v>4.6883933676386507</v>
      </c>
      <c r="L2048">
        <v>4.1166380789022305</v>
      </c>
      <c r="M2048">
        <v>0.7</v>
      </c>
    </row>
    <row r="2049" spans="1:15" x14ac:dyDescent="0.25">
      <c r="A2049" s="8" t="s">
        <v>420</v>
      </c>
      <c r="B2049" s="1" t="s">
        <v>412</v>
      </c>
      <c r="C2049" s="1">
        <v>2014</v>
      </c>
      <c r="D2049" s="1">
        <v>2</v>
      </c>
      <c r="E2049" s="1">
        <v>3</v>
      </c>
      <c r="F2049" s="1">
        <v>2.5</v>
      </c>
      <c r="G2049" s="1">
        <v>1</v>
      </c>
      <c r="H2049" s="5">
        <v>3.14</v>
      </c>
      <c r="I2049" s="2">
        <f>1/1.26</f>
        <v>0.79365079365079361</v>
      </c>
      <c r="J2049" s="3">
        <v>2132</v>
      </c>
      <c r="K2049">
        <v>4.4420368364030338</v>
      </c>
      <c r="L2049">
        <v>4.8754062838569885</v>
      </c>
      <c r="M2049">
        <v>1.1000000000000001</v>
      </c>
    </row>
    <row r="2050" spans="1:15" x14ac:dyDescent="0.25">
      <c r="A2050" s="8" t="s">
        <v>420</v>
      </c>
      <c r="B2050" s="1" t="s">
        <v>412</v>
      </c>
      <c r="C2050" s="1">
        <v>2015</v>
      </c>
      <c r="D2050" s="1">
        <v>2</v>
      </c>
      <c r="E2050" s="1">
        <v>3</v>
      </c>
      <c r="F2050" s="1">
        <v>2.5</v>
      </c>
      <c r="G2050" s="1">
        <v>1</v>
      </c>
      <c r="H2050" s="5">
        <v>0.77</v>
      </c>
      <c r="I2050" s="2">
        <f>1/0.81</f>
        <v>1.2345679012345678</v>
      </c>
      <c r="J2050" s="3">
        <v>2031</v>
      </c>
      <c r="K2050">
        <v>4.4420368364030338</v>
      </c>
      <c r="L2050">
        <v>4.8754062838569885</v>
      </c>
      <c r="M2050">
        <v>1.1000000000000001</v>
      </c>
    </row>
    <row r="2051" spans="1:15" x14ac:dyDescent="0.25">
      <c r="A2051" t="s">
        <v>420</v>
      </c>
      <c r="B2051" s="1" t="s">
        <v>412</v>
      </c>
      <c r="C2051" s="1">
        <v>2016</v>
      </c>
      <c r="D2051" s="1">
        <v>2</v>
      </c>
      <c r="E2051" s="1">
        <v>3</v>
      </c>
      <c r="F2051" s="1">
        <v>2.5</v>
      </c>
      <c r="G2051" s="1">
        <v>1</v>
      </c>
      <c r="H2051" s="5">
        <v>0.86</v>
      </c>
      <c r="I2051" s="2">
        <f>1/0.99</f>
        <v>1.0101010101010102</v>
      </c>
      <c r="J2051" s="6">
        <v>1846</v>
      </c>
      <c r="K2051" s="7">
        <v>4.4420368364030338</v>
      </c>
      <c r="L2051" s="7">
        <v>4.8754062838569885</v>
      </c>
      <c r="M2051">
        <v>1</v>
      </c>
      <c r="O2051" s="7"/>
    </row>
    <row r="2052" spans="1:15" x14ac:dyDescent="0.25">
      <c r="A2052" t="s">
        <v>420</v>
      </c>
      <c r="B2052" s="1" t="s">
        <v>412</v>
      </c>
      <c r="C2052" s="1">
        <v>2017</v>
      </c>
      <c r="D2052" s="1">
        <v>2</v>
      </c>
      <c r="E2052" s="1">
        <v>3</v>
      </c>
      <c r="F2052" s="1">
        <v>2.5</v>
      </c>
      <c r="G2052" s="1">
        <v>1</v>
      </c>
      <c r="H2052" s="5">
        <v>1</v>
      </c>
      <c r="I2052" s="2">
        <f>1/0.99</f>
        <v>1.0101010101010102</v>
      </c>
      <c r="J2052">
        <v>1850</v>
      </c>
      <c r="K2052">
        <v>4.4420368364030338</v>
      </c>
      <c r="L2052">
        <v>4.8754062838569885</v>
      </c>
      <c r="M2052">
        <v>1</v>
      </c>
    </row>
    <row r="2053" spans="1:15" x14ac:dyDescent="0.25">
      <c r="A2053" s="8" t="s">
        <v>420</v>
      </c>
      <c r="B2053" s="1" t="s">
        <v>412</v>
      </c>
      <c r="C2053" s="1">
        <v>2018</v>
      </c>
      <c r="D2053" s="1">
        <v>2</v>
      </c>
      <c r="E2053" s="1">
        <v>3</v>
      </c>
      <c r="F2053" s="1">
        <v>2.5</v>
      </c>
      <c r="G2053" s="1">
        <v>1</v>
      </c>
      <c r="H2053" s="5">
        <v>1.02</v>
      </c>
      <c r="I2053" s="2">
        <f>1/0.97</f>
        <v>1.0309278350515465</v>
      </c>
      <c r="J2053" s="3">
        <v>1833</v>
      </c>
      <c r="K2053">
        <v>4.4420368364030338</v>
      </c>
      <c r="L2053">
        <v>4.8754062838569885</v>
      </c>
      <c r="M2053">
        <v>1</v>
      </c>
    </row>
    <row r="2054" spans="1:15" x14ac:dyDescent="0.25">
      <c r="A2054" s="8" t="s">
        <v>421</v>
      </c>
      <c r="B2054" s="1" t="s">
        <v>412</v>
      </c>
      <c r="C2054" s="1">
        <v>2014</v>
      </c>
      <c r="D2054" s="1">
        <v>3</v>
      </c>
      <c r="E2054" s="1">
        <v>3</v>
      </c>
      <c r="F2054" s="1">
        <v>3</v>
      </c>
      <c r="G2054" s="1">
        <v>0</v>
      </c>
      <c r="H2054" s="5">
        <v>0.81</v>
      </c>
      <c r="I2054" s="2">
        <f>1/1.7</f>
        <v>0.58823529411764708</v>
      </c>
      <c r="J2054" s="3">
        <v>1687</v>
      </c>
      <c r="K2054">
        <v>0.9400705052878966</v>
      </c>
      <c r="L2054">
        <v>2.5851938895417157</v>
      </c>
      <c r="M2054">
        <v>0.6</v>
      </c>
    </row>
    <row r="2055" spans="1:15" x14ac:dyDescent="0.25">
      <c r="A2055" s="8" t="s">
        <v>421</v>
      </c>
      <c r="B2055" s="1" t="s">
        <v>412</v>
      </c>
      <c r="C2055" s="1">
        <v>2015</v>
      </c>
      <c r="D2055" s="1">
        <v>3</v>
      </c>
      <c r="E2055" s="1">
        <v>3</v>
      </c>
      <c r="F2055" s="1">
        <v>3</v>
      </c>
      <c r="G2055" s="1">
        <v>0</v>
      </c>
      <c r="H2055" s="5">
        <v>0.85</v>
      </c>
      <c r="I2055" s="2">
        <f>1/1.19</f>
        <v>0.84033613445378152</v>
      </c>
      <c r="J2055" s="3">
        <v>1681</v>
      </c>
      <c r="K2055">
        <v>0.9400705052878966</v>
      </c>
      <c r="L2055">
        <v>2.5851938895417157</v>
      </c>
      <c r="M2055">
        <v>0.6</v>
      </c>
    </row>
    <row r="2056" spans="1:15" x14ac:dyDescent="0.25">
      <c r="A2056" t="s">
        <v>421</v>
      </c>
      <c r="B2056" s="1" t="s">
        <v>412</v>
      </c>
      <c r="C2056" s="1">
        <v>2016</v>
      </c>
      <c r="D2056" s="1">
        <v>3</v>
      </c>
      <c r="E2056" s="1">
        <v>3</v>
      </c>
      <c r="F2056" s="1">
        <v>3</v>
      </c>
      <c r="G2056" s="1">
        <v>0</v>
      </c>
      <c r="H2056" s="5">
        <v>1.1499999999999999</v>
      </c>
      <c r="I2056" s="2">
        <f>1/1.7</f>
        <v>0.58823529411764708</v>
      </c>
      <c r="J2056" s="6">
        <v>1702</v>
      </c>
      <c r="K2056" s="7">
        <v>0.9400705052878966</v>
      </c>
      <c r="L2056" s="7">
        <v>2.5851938895417157</v>
      </c>
      <c r="M2056">
        <v>0.6</v>
      </c>
      <c r="O2056" s="7"/>
    </row>
    <row r="2057" spans="1:15" x14ac:dyDescent="0.25">
      <c r="A2057" t="s">
        <v>421</v>
      </c>
      <c r="B2057" s="1" t="s">
        <v>412</v>
      </c>
      <c r="C2057" s="1">
        <v>2017</v>
      </c>
      <c r="D2057" s="1">
        <v>3</v>
      </c>
      <c r="E2057" s="1">
        <v>3</v>
      </c>
      <c r="F2057" s="1">
        <v>3</v>
      </c>
      <c r="G2057" s="1">
        <v>0</v>
      </c>
      <c r="H2057" s="5">
        <v>0.66</v>
      </c>
      <c r="I2057" s="2">
        <f>1/1.25</f>
        <v>0.8</v>
      </c>
      <c r="J2057">
        <v>1722</v>
      </c>
      <c r="K2057">
        <v>0.9400705052878966</v>
      </c>
      <c r="L2057">
        <v>2.5851938895417157</v>
      </c>
      <c r="M2057">
        <v>0.6</v>
      </c>
    </row>
    <row r="2058" spans="1:15" x14ac:dyDescent="0.25">
      <c r="A2058" s="8" t="s">
        <v>421</v>
      </c>
      <c r="B2058" s="1" t="s">
        <v>412</v>
      </c>
      <c r="C2058" s="1">
        <v>2018</v>
      </c>
      <c r="D2058" s="1">
        <v>3</v>
      </c>
      <c r="E2058" s="1">
        <v>3</v>
      </c>
      <c r="F2058" s="1">
        <v>3</v>
      </c>
      <c r="G2058" s="1">
        <v>0</v>
      </c>
      <c r="H2058" s="5">
        <v>0.66</v>
      </c>
      <c r="I2058" s="2">
        <f>1/1.39</f>
        <v>0.71942446043165476</v>
      </c>
      <c r="J2058" s="3">
        <v>1756</v>
      </c>
      <c r="K2058">
        <v>0.9400705052878966</v>
      </c>
      <c r="L2058">
        <v>2.5851938895417157</v>
      </c>
      <c r="M2058">
        <v>0.6</v>
      </c>
    </row>
    <row r="2059" spans="1:15" x14ac:dyDescent="0.25">
      <c r="A2059" s="8" t="s">
        <v>422</v>
      </c>
      <c r="B2059" s="1" t="s">
        <v>412</v>
      </c>
      <c r="C2059" s="1">
        <v>2014</v>
      </c>
      <c r="D2059" s="1">
        <v>2</v>
      </c>
      <c r="E2059" s="1">
        <v>3</v>
      </c>
      <c r="F2059" s="1">
        <v>2.5</v>
      </c>
      <c r="G2059" s="1">
        <v>1</v>
      </c>
      <c r="H2059" s="5">
        <v>0.34</v>
      </c>
      <c r="I2059" s="2">
        <f>1/1.48</f>
        <v>0.67567567567567566</v>
      </c>
      <c r="J2059" s="3">
        <v>4687</v>
      </c>
      <c r="K2059">
        <v>1.3730959021669169</v>
      </c>
      <c r="L2059">
        <v>2.9607380390474147</v>
      </c>
      <c r="M2059">
        <v>3.5</v>
      </c>
    </row>
    <row r="2060" spans="1:15" x14ac:dyDescent="0.25">
      <c r="A2060" s="8" t="s">
        <v>422</v>
      </c>
      <c r="B2060" s="1" t="s">
        <v>412</v>
      </c>
      <c r="C2060" s="1">
        <v>2015</v>
      </c>
      <c r="D2060" s="1">
        <v>2</v>
      </c>
      <c r="E2060" s="1">
        <v>3</v>
      </c>
      <c r="F2060" s="1">
        <v>2.5</v>
      </c>
      <c r="G2060" s="1">
        <v>1</v>
      </c>
      <c r="H2060" s="5">
        <v>0.73</v>
      </c>
      <c r="I2060" s="2">
        <f>1/1.13</f>
        <v>0.88495575221238942</v>
      </c>
      <c r="J2060" s="3">
        <v>4727</v>
      </c>
      <c r="K2060">
        <v>1.3730959021669169</v>
      </c>
      <c r="L2060">
        <v>2.9607380390474147</v>
      </c>
      <c r="M2060">
        <v>3.5</v>
      </c>
    </row>
    <row r="2061" spans="1:15" x14ac:dyDescent="0.25">
      <c r="A2061" t="s">
        <v>422</v>
      </c>
      <c r="B2061" s="1" t="s">
        <v>412</v>
      </c>
      <c r="C2061" s="1">
        <v>2016</v>
      </c>
      <c r="D2061" s="1">
        <v>2</v>
      </c>
      <c r="E2061" s="1">
        <v>3</v>
      </c>
      <c r="F2061" s="1">
        <v>2.5</v>
      </c>
      <c r="G2061" s="1">
        <v>1</v>
      </c>
      <c r="H2061" s="5">
        <v>1.4</v>
      </c>
      <c r="I2061" s="2">
        <f>1/1.51</f>
        <v>0.66225165562913912</v>
      </c>
      <c r="J2061" s="6">
        <v>4661</v>
      </c>
      <c r="K2061" s="7">
        <v>1.3730959021669169</v>
      </c>
      <c r="L2061" s="7">
        <v>2.9607380390474147</v>
      </c>
      <c r="M2061">
        <v>3.5</v>
      </c>
      <c r="O2061" s="7"/>
    </row>
    <row r="2062" spans="1:15" x14ac:dyDescent="0.25">
      <c r="A2062" t="s">
        <v>422</v>
      </c>
      <c r="B2062" s="1" t="s">
        <v>412</v>
      </c>
      <c r="C2062" s="1">
        <v>2017</v>
      </c>
      <c r="D2062" s="1">
        <v>2</v>
      </c>
      <c r="E2062" s="1">
        <v>3</v>
      </c>
      <c r="F2062" s="1">
        <v>2.5</v>
      </c>
      <c r="G2062" s="1">
        <v>1</v>
      </c>
      <c r="H2062" s="5">
        <v>0.85</v>
      </c>
      <c r="I2062" s="2">
        <f>1/1.21</f>
        <v>0.82644628099173556</v>
      </c>
      <c r="J2062">
        <v>4708</v>
      </c>
      <c r="K2062">
        <v>1.3730959021669169</v>
      </c>
      <c r="L2062">
        <v>2.9607380390474147</v>
      </c>
      <c r="M2062">
        <v>3.5</v>
      </c>
    </row>
    <row r="2063" spans="1:15" x14ac:dyDescent="0.25">
      <c r="A2063" s="8" t="s">
        <v>422</v>
      </c>
      <c r="B2063" s="1" t="s">
        <v>412</v>
      </c>
      <c r="C2063" s="1">
        <v>2018</v>
      </c>
      <c r="D2063" s="1">
        <v>2</v>
      </c>
      <c r="E2063" s="1">
        <v>3</v>
      </c>
      <c r="F2063" s="1">
        <v>2.5</v>
      </c>
      <c r="G2063" s="1">
        <v>1</v>
      </c>
      <c r="H2063" s="5">
        <v>0.5</v>
      </c>
      <c r="I2063" s="2">
        <f>1/1.19</f>
        <v>0.84033613445378152</v>
      </c>
      <c r="J2063" s="3">
        <v>4722</v>
      </c>
      <c r="K2063">
        <v>1.3730959021669169</v>
      </c>
      <c r="L2063">
        <v>2.9607380390474147</v>
      </c>
      <c r="M2063">
        <v>3.5</v>
      </c>
    </row>
    <row r="2064" spans="1:15" x14ac:dyDescent="0.25">
      <c r="A2064" s="8" t="s">
        <v>423</v>
      </c>
      <c r="B2064" s="1" t="s">
        <v>412</v>
      </c>
      <c r="C2064" s="1">
        <v>2014</v>
      </c>
      <c r="D2064" s="1">
        <v>3</v>
      </c>
      <c r="E2064" s="1">
        <v>3</v>
      </c>
      <c r="F2064" s="1">
        <v>3</v>
      </c>
      <c r="G2064" s="1">
        <v>0</v>
      </c>
      <c r="H2064" s="5">
        <v>2.5299999999999998</v>
      </c>
      <c r="I2064" s="2">
        <f>1/1.09</f>
        <v>0.9174311926605504</v>
      </c>
      <c r="J2064" s="3">
        <v>1018</v>
      </c>
      <c r="K2064">
        <v>10.780287474332649</v>
      </c>
      <c r="L2064">
        <v>3.1827515400410675</v>
      </c>
      <c r="M2064">
        <v>0.6</v>
      </c>
    </row>
    <row r="2065" spans="1:15" x14ac:dyDescent="0.25">
      <c r="A2065" s="8" t="s">
        <v>423</v>
      </c>
      <c r="B2065" s="1" t="s">
        <v>412</v>
      </c>
      <c r="C2065" s="1">
        <v>2015</v>
      </c>
      <c r="D2065" s="1">
        <v>3</v>
      </c>
      <c r="E2065" s="1">
        <v>3</v>
      </c>
      <c r="F2065" s="1">
        <v>3</v>
      </c>
      <c r="G2065" s="1">
        <v>0</v>
      </c>
      <c r="H2065" s="5">
        <v>0.98</v>
      </c>
      <c r="I2065" s="2">
        <f>1/0.92</f>
        <v>1.0869565217391304</v>
      </c>
      <c r="J2065" s="3">
        <v>1010</v>
      </c>
      <c r="K2065">
        <v>10.780287474332649</v>
      </c>
      <c r="L2065">
        <v>3.1827515400410675</v>
      </c>
      <c r="M2065">
        <v>0.6</v>
      </c>
    </row>
    <row r="2066" spans="1:15" x14ac:dyDescent="0.25">
      <c r="A2066" t="s">
        <v>423</v>
      </c>
      <c r="B2066" s="1" t="s">
        <v>412</v>
      </c>
      <c r="C2066" s="1">
        <v>2016</v>
      </c>
      <c r="D2066" s="1">
        <v>3</v>
      </c>
      <c r="E2066" s="1">
        <v>3</v>
      </c>
      <c r="F2066" s="1">
        <v>3</v>
      </c>
      <c r="G2066" s="1">
        <v>0</v>
      </c>
      <c r="H2066" s="5">
        <v>0.64</v>
      </c>
      <c r="I2066" s="2">
        <f>1/1.46</f>
        <v>0.68493150684931503</v>
      </c>
      <c r="J2066" s="6">
        <v>974</v>
      </c>
      <c r="K2066" s="7">
        <v>10.780287474332649</v>
      </c>
      <c r="L2066" s="7">
        <v>3.1827515400410675</v>
      </c>
      <c r="M2066">
        <v>0.6</v>
      </c>
      <c r="O2066" s="7"/>
    </row>
    <row r="2067" spans="1:15" x14ac:dyDescent="0.25">
      <c r="A2067" t="s">
        <v>423</v>
      </c>
      <c r="B2067" s="1" t="s">
        <v>412</v>
      </c>
      <c r="C2067" s="1">
        <v>2017</v>
      </c>
      <c r="D2067" s="1">
        <v>3</v>
      </c>
      <c r="E2067" s="1">
        <v>3</v>
      </c>
      <c r="F2067" s="1">
        <v>3</v>
      </c>
      <c r="G2067" s="1">
        <v>0</v>
      </c>
      <c r="H2067" s="5">
        <v>0.8</v>
      </c>
      <c r="I2067" s="2">
        <f>1/1.1</f>
        <v>0.90909090909090906</v>
      </c>
      <c r="J2067">
        <v>986</v>
      </c>
      <c r="K2067">
        <v>10.780287474332649</v>
      </c>
      <c r="L2067">
        <v>3.1827515400410675</v>
      </c>
      <c r="M2067">
        <v>0.6</v>
      </c>
    </row>
    <row r="2068" spans="1:15" x14ac:dyDescent="0.25">
      <c r="A2068" s="8" t="s">
        <v>423</v>
      </c>
      <c r="B2068" s="1" t="s">
        <v>412</v>
      </c>
      <c r="C2068" s="1">
        <v>2018</v>
      </c>
      <c r="D2068" s="1">
        <v>3</v>
      </c>
      <c r="E2068" s="1">
        <v>3</v>
      </c>
      <c r="F2068" s="1">
        <v>3</v>
      </c>
      <c r="G2068" s="1">
        <v>0</v>
      </c>
      <c r="H2068" s="5">
        <v>1.1499999999999999</v>
      </c>
      <c r="I2068" s="2">
        <f>1/0.97</f>
        <v>1.0309278350515465</v>
      </c>
      <c r="J2068" s="3">
        <v>965</v>
      </c>
      <c r="K2068">
        <v>10.780287474332649</v>
      </c>
      <c r="L2068">
        <v>3.1827515400410675</v>
      </c>
      <c r="M2068">
        <v>0.6</v>
      </c>
    </row>
    <row r="2069" spans="1:15" x14ac:dyDescent="0.25">
      <c r="A2069" s="8" t="s">
        <v>424</v>
      </c>
      <c r="B2069" s="1" t="s">
        <v>412</v>
      </c>
      <c r="C2069" s="1">
        <v>2014</v>
      </c>
      <c r="D2069" s="1">
        <v>4</v>
      </c>
      <c r="E2069" s="1">
        <v>5</v>
      </c>
      <c r="F2069" s="1">
        <v>4.5</v>
      </c>
      <c r="G2069" s="1">
        <v>1</v>
      </c>
      <c r="H2069" s="5">
        <v>1.87</v>
      </c>
      <c r="I2069" s="2">
        <f>1/0.99</f>
        <v>1.0101010101010102</v>
      </c>
      <c r="J2069" s="3">
        <v>17100</v>
      </c>
      <c r="K2069">
        <v>28.167971881359065</v>
      </c>
      <c r="L2069">
        <v>11.654436702226059</v>
      </c>
      <c r="M2069">
        <v>0.3</v>
      </c>
    </row>
    <row r="2070" spans="1:15" x14ac:dyDescent="0.25">
      <c r="A2070" s="8" t="s">
        <v>424</v>
      </c>
      <c r="B2070" s="1" t="s">
        <v>412</v>
      </c>
      <c r="C2070" s="1">
        <v>2015</v>
      </c>
      <c r="D2070" s="1">
        <v>4</v>
      </c>
      <c r="E2070" s="1">
        <v>5</v>
      </c>
      <c r="F2070" s="1">
        <v>4.5</v>
      </c>
      <c r="G2070" s="1">
        <v>1</v>
      </c>
      <c r="H2070" s="5">
        <v>1.24</v>
      </c>
      <c r="I2070" s="2">
        <f>1/0.87</f>
        <v>1.1494252873563218</v>
      </c>
      <c r="J2070" s="3">
        <v>17060</v>
      </c>
      <c r="K2070">
        <v>28.167971881359065</v>
      </c>
      <c r="L2070">
        <v>11.654436702226059</v>
      </c>
      <c r="M2070">
        <v>0.3</v>
      </c>
    </row>
    <row r="2071" spans="1:15" x14ac:dyDescent="0.25">
      <c r="A2071" t="s">
        <v>424</v>
      </c>
      <c r="B2071" s="1" t="s">
        <v>412</v>
      </c>
      <c r="C2071" s="1">
        <v>2016</v>
      </c>
      <c r="D2071" s="1">
        <v>4</v>
      </c>
      <c r="E2071" s="1">
        <v>5</v>
      </c>
      <c r="F2071" s="1">
        <v>4.5</v>
      </c>
      <c r="G2071" s="1">
        <v>1</v>
      </c>
      <c r="H2071" s="5">
        <v>0.28999999999999998</v>
      </c>
      <c r="I2071" s="2">
        <f>1/1.14</f>
        <v>0.87719298245614041</v>
      </c>
      <c r="J2071" s="6">
        <v>16217</v>
      </c>
      <c r="K2071" s="7">
        <v>28.167971881359065</v>
      </c>
      <c r="L2071" s="7">
        <v>11.654436702226059</v>
      </c>
      <c r="M2071">
        <v>0.3</v>
      </c>
      <c r="O2071" s="7"/>
    </row>
    <row r="2072" spans="1:15" x14ac:dyDescent="0.25">
      <c r="A2072" t="s">
        <v>424</v>
      </c>
      <c r="B2072" s="1" t="s">
        <v>412</v>
      </c>
      <c r="C2072" s="1">
        <v>2017</v>
      </c>
      <c r="D2072" s="1">
        <v>4</v>
      </c>
      <c r="E2072" s="1">
        <v>5</v>
      </c>
      <c r="F2072" s="1">
        <v>4.5</v>
      </c>
      <c r="G2072" s="1">
        <v>1</v>
      </c>
      <c r="H2072" s="5">
        <v>0.66</v>
      </c>
      <c r="I2072" s="2">
        <f>1/1.12</f>
        <v>0.89285714285714279</v>
      </c>
      <c r="J2072">
        <v>16981</v>
      </c>
      <c r="K2072">
        <v>28.167971881359065</v>
      </c>
      <c r="L2072">
        <v>11.654436702226059</v>
      </c>
      <c r="M2072">
        <v>0.3</v>
      </c>
    </row>
    <row r="2073" spans="1:15" x14ac:dyDescent="0.25">
      <c r="A2073" s="8" t="s">
        <v>424</v>
      </c>
      <c r="B2073" s="1" t="s">
        <v>412</v>
      </c>
      <c r="C2073" s="1">
        <v>2018</v>
      </c>
      <c r="D2073" s="1">
        <v>4</v>
      </c>
      <c r="E2073" s="1">
        <v>5</v>
      </c>
      <c r="F2073" s="1">
        <v>4.5</v>
      </c>
      <c r="G2073" s="1">
        <v>1</v>
      </c>
      <c r="H2073" s="5">
        <v>0.22</v>
      </c>
      <c r="I2073" s="2">
        <f>1/1.13</f>
        <v>0.88495575221238942</v>
      </c>
      <c r="J2073" s="3">
        <v>16952</v>
      </c>
      <c r="K2073">
        <v>28.167971881359065</v>
      </c>
      <c r="L2073">
        <v>11.654436702226059</v>
      </c>
      <c r="M2073">
        <v>0.3</v>
      </c>
    </row>
    <row r="2074" spans="1:15" x14ac:dyDescent="0.25">
      <c r="A2074" s="8" t="s">
        <v>425</v>
      </c>
      <c r="B2074" s="1" t="s">
        <v>412</v>
      </c>
      <c r="C2074" s="1">
        <v>2014</v>
      </c>
      <c r="D2074" s="1">
        <v>3</v>
      </c>
      <c r="E2074" s="1">
        <v>3</v>
      </c>
      <c r="F2074" s="1">
        <v>3</v>
      </c>
      <c r="G2074" s="1">
        <v>0</v>
      </c>
      <c r="H2074" s="5">
        <v>3.9</v>
      </c>
      <c r="I2074" s="2">
        <f>100/114</f>
        <v>0.8771929824561403</v>
      </c>
      <c r="J2074" s="3">
        <v>1191</v>
      </c>
      <c r="K2074">
        <v>11.646234676007005</v>
      </c>
      <c r="L2074">
        <v>1.7513134851138354</v>
      </c>
      <c r="M2074">
        <v>0.5</v>
      </c>
    </row>
    <row r="2075" spans="1:15" x14ac:dyDescent="0.25">
      <c r="A2075" s="8" t="s">
        <v>425</v>
      </c>
      <c r="B2075" s="1" t="s">
        <v>412</v>
      </c>
      <c r="C2075" s="1">
        <v>2015</v>
      </c>
      <c r="D2075" s="1">
        <v>3</v>
      </c>
      <c r="E2075" s="1">
        <v>3</v>
      </c>
      <c r="F2075" s="1">
        <v>3</v>
      </c>
      <c r="G2075" s="1">
        <v>0</v>
      </c>
      <c r="H2075" s="5">
        <v>2.4900000000000002</v>
      </c>
      <c r="I2075" s="2">
        <f>100/76</f>
        <v>1.3157894736842106</v>
      </c>
      <c r="J2075" s="3">
        <v>1180</v>
      </c>
      <c r="K2075">
        <v>11.646234676007005</v>
      </c>
      <c r="L2075">
        <v>1.7513134851138354</v>
      </c>
      <c r="M2075">
        <v>0.5</v>
      </c>
    </row>
    <row r="2076" spans="1:15" x14ac:dyDescent="0.25">
      <c r="A2076" t="s">
        <v>425</v>
      </c>
      <c r="B2076" s="1" t="s">
        <v>412</v>
      </c>
      <c r="C2076" s="1">
        <v>2016</v>
      </c>
      <c r="D2076" s="1">
        <v>3</v>
      </c>
      <c r="E2076" s="1">
        <v>3</v>
      </c>
      <c r="F2076" s="1">
        <v>3</v>
      </c>
      <c r="G2076" s="1">
        <v>0</v>
      </c>
      <c r="H2076" s="5">
        <v>2.02</v>
      </c>
      <c r="I2076" s="2">
        <f>100/167</f>
        <v>0.59880239520958078</v>
      </c>
      <c r="J2076" s="6">
        <v>1142</v>
      </c>
      <c r="K2076" s="7">
        <v>11.646234676007005</v>
      </c>
      <c r="L2076" s="7">
        <v>1.7513134851138354</v>
      </c>
      <c r="M2076">
        <v>0.4</v>
      </c>
      <c r="O2076" s="7"/>
    </row>
    <row r="2077" spans="1:15" x14ac:dyDescent="0.25">
      <c r="A2077" t="s">
        <v>425</v>
      </c>
      <c r="B2077" s="1" t="s">
        <v>412</v>
      </c>
      <c r="C2077" s="1">
        <v>2017</v>
      </c>
      <c r="D2077" s="1">
        <v>3</v>
      </c>
      <c r="E2077" s="1">
        <v>3</v>
      </c>
      <c r="F2077" s="1">
        <v>3</v>
      </c>
      <c r="G2077" s="1">
        <v>0</v>
      </c>
      <c r="H2077" s="5">
        <v>2.75</v>
      </c>
      <c r="I2077" s="2">
        <f>10/7</f>
        <v>1.4285714285714286</v>
      </c>
      <c r="J2077">
        <v>1150</v>
      </c>
      <c r="K2077">
        <v>11.646234676007005</v>
      </c>
      <c r="L2077">
        <v>1.7513134851138354</v>
      </c>
      <c r="M2077">
        <v>0.4</v>
      </c>
    </row>
    <row r="2078" spans="1:15" x14ac:dyDescent="0.25">
      <c r="A2078" s="8" t="s">
        <v>425</v>
      </c>
      <c r="B2078" s="1" t="s">
        <v>412</v>
      </c>
      <c r="C2078" s="1">
        <v>2018</v>
      </c>
      <c r="D2078" s="1">
        <v>3</v>
      </c>
      <c r="E2078" s="1">
        <v>3</v>
      </c>
      <c r="F2078" s="1">
        <v>3</v>
      </c>
      <c r="G2078" s="1">
        <v>0</v>
      </c>
      <c r="H2078" s="5">
        <v>2.2999999999999998</v>
      </c>
      <c r="I2078" s="2">
        <f>100/112</f>
        <v>0.8928571428571429</v>
      </c>
      <c r="J2078" s="3">
        <v>1132</v>
      </c>
      <c r="K2078">
        <v>11.646234676007005</v>
      </c>
      <c r="L2078">
        <v>1.7513134851138354</v>
      </c>
      <c r="M2078">
        <v>0.4</v>
      </c>
    </row>
    <row r="2079" spans="1:15" x14ac:dyDescent="0.25">
      <c r="A2079" s="8" t="s">
        <v>426</v>
      </c>
      <c r="B2079" s="1" t="s">
        <v>412</v>
      </c>
      <c r="C2079" s="1">
        <v>2014</v>
      </c>
      <c r="D2079" s="1">
        <v>4</v>
      </c>
      <c r="E2079" s="1">
        <v>4</v>
      </c>
      <c r="F2079" s="1">
        <v>4</v>
      </c>
      <c r="G2079" s="1">
        <v>0</v>
      </c>
      <c r="H2079" s="5">
        <v>2.2999999999999998</v>
      </c>
      <c r="I2079" s="2">
        <f>1/0.77</f>
        <v>1.2987012987012987</v>
      </c>
      <c r="J2079" s="3">
        <v>966</v>
      </c>
      <c r="K2079">
        <v>2.8077753779697625</v>
      </c>
      <c r="L2079">
        <v>2.9157667386609072</v>
      </c>
      <c r="M2079">
        <v>0.4</v>
      </c>
    </row>
    <row r="2080" spans="1:15" x14ac:dyDescent="0.25">
      <c r="A2080" s="8" t="s">
        <v>426</v>
      </c>
      <c r="B2080" s="1" t="s">
        <v>412</v>
      </c>
      <c r="C2080" s="1">
        <v>2015</v>
      </c>
      <c r="D2080" s="1">
        <v>4</v>
      </c>
      <c r="E2080" s="1">
        <v>4</v>
      </c>
      <c r="F2080" s="1">
        <v>4</v>
      </c>
      <c r="G2080" s="1">
        <v>0</v>
      </c>
      <c r="H2080" s="5">
        <v>0.54</v>
      </c>
      <c r="I2080" s="2">
        <f>1/1.36</f>
        <v>0.73529411764705876</v>
      </c>
      <c r="J2080" s="3">
        <v>955</v>
      </c>
      <c r="K2080">
        <v>2.8077753779697625</v>
      </c>
      <c r="L2080">
        <v>2.9157667386609072</v>
      </c>
      <c r="M2080">
        <v>0.4</v>
      </c>
    </row>
    <row r="2081" spans="1:15" x14ac:dyDescent="0.25">
      <c r="A2081" t="s">
        <v>426</v>
      </c>
      <c r="B2081" s="1" t="s">
        <v>412</v>
      </c>
      <c r="C2081" s="1">
        <v>2016</v>
      </c>
      <c r="D2081" s="1">
        <v>4</v>
      </c>
      <c r="E2081" s="1">
        <v>4</v>
      </c>
      <c r="F2081" s="1">
        <v>4</v>
      </c>
      <c r="G2081" s="1">
        <v>0</v>
      </c>
      <c r="H2081" s="5">
        <v>0.23</v>
      </c>
      <c r="I2081" s="2">
        <f>1/1.86</f>
        <v>0.5376344086021505</v>
      </c>
      <c r="J2081" s="6">
        <v>926</v>
      </c>
      <c r="K2081" s="7">
        <v>2.8077753779697625</v>
      </c>
      <c r="L2081" s="7">
        <v>2.9157667386609072</v>
      </c>
      <c r="M2081">
        <v>0.3</v>
      </c>
      <c r="O2081" s="7"/>
    </row>
    <row r="2082" spans="1:15" x14ac:dyDescent="0.25">
      <c r="A2082" t="s">
        <v>426</v>
      </c>
      <c r="B2082" s="1" t="s">
        <v>412</v>
      </c>
      <c r="C2082" s="1">
        <v>2017</v>
      </c>
      <c r="D2082" s="1">
        <v>4</v>
      </c>
      <c r="E2082" s="1">
        <v>4</v>
      </c>
      <c r="F2082" s="1">
        <v>4</v>
      </c>
      <c r="G2082" s="1">
        <v>0</v>
      </c>
      <c r="H2082" s="5">
        <v>0.32</v>
      </c>
      <c r="I2082" s="2">
        <f>1/1.7</f>
        <v>0.58823529411764708</v>
      </c>
      <c r="J2082">
        <v>943</v>
      </c>
      <c r="K2082">
        <v>2.8077753779697625</v>
      </c>
      <c r="L2082">
        <v>2.9157667386609072</v>
      </c>
      <c r="M2082">
        <v>0.3</v>
      </c>
    </row>
    <row r="2083" spans="1:15" x14ac:dyDescent="0.25">
      <c r="A2083" s="8" t="s">
        <v>426</v>
      </c>
      <c r="B2083" s="1" t="s">
        <v>412</v>
      </c>
      <c r="C2083" s="1">
        <v>2018</v>
      </c>
      <c r="D2083" s="1">
        <v>4</v>
      </c>
      <c r="E2083" s="1">
        <v>4</v>
      </c>
      <c r="F2083" s="1">
        <v>4</v>
      </c>
      <c r="G2083" s="1">
        <v>0</v>
      </c>
      <c r="H2083" s="5">
        <v>0.24</v>
      </c>
      <c r="I2083" s="2">
        <f>1/2.87</f>
        <v>0.34843205574912889</v>
      </c>
      <c r="J2083" s="3">
        <v>940</v>
      </c>
      <c r="K2083">
        <v>2.8077753779697625</v>
      </c>
      <c r="L2083">
        <v>2.9157667386609072</v>
      </c>
      <c r="M2083">
        <v>0.3</v>
      </c>
    </row>
    <row r="2084" spans="1:15" x14ac:dyDescent="0.25">
      <c r="A2084" s="8" t="s">
        <v>427</v>
      </c>
      <c r="B2084" s="1" t="s">
        <v>412</v>
      </c>
      <c r="C2084" s="1">
        <v>2014</v>
      </c>
      <c r="D2084" s="1">
        <v>2</v>
      </c>
      <c r="E2084" s="1">
        <v>2</v>
      </c>
      <c r="F2084" s="1">
        <v>2</v>
      </c>
      <c r="G2084" s="1">
        <v>0</v>
      </c>
      <c r="H2084" s="5">
        <v>0.42</v>
      </c>
      <c r="I2084" s="2">
        <f>1/1.12</f>
        <v>0.89285714285714279</v>
      </c>
      <c r="J2084" s="3">
        <v>32941</v>
      </c>
      <c r="K2084">
        <v>3.5620300751879697</v>
      </c>
      <c r="L2084">
        <v>9.1948621553884706</v>
      </c>
      <c r="M2084">
        <v>503.6</v>
      </c>
    </row>
    <row r="2085" spans="1:15" x14ac:dyDescent="0.25">
      <c r="A2085" s="8" t="s">
        <v>427</v>
      </c>
      <c r="B2085" s="1" t="s">
        <v>412</v>
      </c>
      <c r="C2085" s="1">
        <v>2015</v>
      </c>
      <c r="D2085" s="1">
        <v>2</v>
      </c>
      <c r="E2085" s="1">
        <v>2</v>
      </c>
      <c r="F2085" s="1">
        <v>2</v>
      </c>
      <c r="G2085" s="1">
        <v>0</v>
      </c>
      <c r="H2085" s="5">
        <v>0.81</v>
      </c>
      <c r="I2085" s="2">
        <f>1/1.03</f>
        <v>0.970873786407767</v>
      </c>
      <c r="J2085" s="3">
        <v>32872</v>
      </c>
      <c r="K2085">
        <v>3.5620300751879697</v>
      </c>
      <c r="L2085">
        <v>9.1948621553884706</v>
      </c>
      <c r="M2085">
        <v>502.5</v>
      </c>
    </row>
    <row r="2086" spans="1:15" x14ac:dyDescent="0.25">
      <c r="A2086" t="s">
        <v>427</v>
      </c>
      <c r="B2086" s="1" t="s">
        <v>412</v>
      </c>
      <c r="C2086" s="1">
        <v>2016</v>
      </c>
      <c r="D2086" s="1">
        <v>2</v>
      </c>
      <c r="E2086" s="1">
        <v>2</v>
      </c>
      <c r="F2086" s="1">
        <v>2</v>
      </c>
      <c r="G2086" s="1">
        <v>0</v>
      </c>
      <c r="H2086" s="5">
        <v>0.52</v>
      </c>
      <c r="I2086" s="2">
        <f>1/1.06</f>
        <v>0.94339622641509424</v>
      </c>
      <c r="J2086" s="6">
        <v>31920</v>
      </c>
      <c r="K2086" s="7">
        <v>3.5620300751879697</v>
      </c>
      <c r="L2086" s="7">
        <v>9.1948621553884706</v>
      </c>
      <c r="M2086">
        <v>497.9</v>
      </c>
      <c r="O2086" s="7"/>
    </row>
    <row r="2087" spans="1:15" x14ac:dyDescent="0.25">
      <c r="A2087" t="s">
        <v>427</v>
      </c>
      <c r="B2087" s="1" t="s">
        <v>412</v>
      </c>
      <c r="C2087" s="1">
        <v>2017</v>
      </c>
      <c r="D2087" s="1">
        <v>2</v>
      </c>
      <c r="E2087" s="1">
        <v>2</v>
      </c>
      <c r="F2087" s="1">
        <v>2</v>
      </c>
      <c r="G2087" s="1">
        <v>0</v>
      </c>
      <c r="H2087" s="5">
        <v>0.64</v>
      </c>
      <c r="I2087" s="5">
        <v>1</v>
      </c>
      <c r="J2087">
        <v>32102</v>
      </c>
      <c r="K2087">
        <v>3.5620300751879697</v>
      </c>
      <c r="L2087">
        <v>9.1948621553884706</v>
      </c>
      <c r="M2087">
        <v>490.7</v>
      </c>
    </row>
    <row r="2088" spans="1:15" x14ac:dyDescent="0.25">
      <c r="A2088" s="8" t="s">
        <v>427</v>
      </c>
      <c r="B2088" s="1" t="s">
        <v>412</v>
      </c>
      <c r="C2088" s="1">
        <v>2018</v>
      </c>
      <c r="D2088" s="1">
        <v>2</v>
      </c>
      <c r="E2088" s="1">
        <v>2</v>
      </c>
      <c r="F2088" s="1">
        <v>2</v>
      </c>
      <c r="G2088" s="1">
        <v>0</v>
      </c>
      <c r="H2088" s="5">
        <v>0.7</v>
      </c>
      <c r="I2088" s="5">
        <v>1</v>
      </c>
      <c r="J2088" s="3">
        <v>31776</v>
      </c>
      <c r="K2088">
        <v>3.5620300751879697</v>
      </c>
      <c r="L2088">
        <v>9.1948621553884706</v>
      </c>
      <c r="M2088">
        <v>485.8</v>
      </c>
    </row>
    <row r="2089" spans="1:15" x14ac:dyDescent="0.25">
      <c r="A2089" s="8" t="s">
        <v>428</v>
      </c>
      <c r="B2089" s="1" t="s">
        <v>412</v>
      </c>
      <c r="C2089" s="1">
        <v>2014</v>
      </c>
      <c r="D2089" s="1">
        <v>2</v>
      </c>
      <c r="E2089" s="1">
        <v>2</v>
      </c>
      <c r="F2089" s="1">
        <v>2</v>
      </c>
      <c r="G2089" s="1">
        <v>0</v>
      </c>
      <c r="H2089" s="5">
        <v>1.61</v>
      </c>
      <c r="I2089" s="2">
        <f>1/0.96</f>
        <v>1.0416666666666667</v>
      </c>
      <c r="J2089" s="3">
        <v>35917</v>
      </c>
      <c r="K2089">
        <v>1.6517662450937638</v>
      </c>
      <c r="L2089">
        <v>4.6854557348451804</v>
      </c>
      <c r="M2089">
        <v>24.7</v>
      </c>
    </row>
    <row r="2090" spans="1:15" x14ac:dyDescent="0.25">
      <c r="A2090" s="8" t="s">
        <v>428</v>
      </c>
      <c r="B2090" s="1" t="s">
        <v>412</v>
      </c>
      <c r="C2090" s="1">
        <v>2015</v>
      </c>
      <c r="D2090" s="1">
        <v>2</v>
      </c>
      <c r="E2090" s="1">
        <v>2</v>
      </c>
      <c r="F2090" s="1">
        <v>2</v>
      </c>
      <c r="G2090" s="1">
        <v>0</v>
      </c>
      <c r="H2090" s="5">
        <v>1.06</v>
      </c>
      <c r="I2090" s="2">
        <f>1/0.95</f>
        <v>1.0526315789473684</v>
      </c>
      <c r="J2090" s="3">
        <v>36940</v>
      </c>
      <c r="K2090">
        <v>1.6517662450937638</v>
      </c>
      <c r="L2090">
        <v>4.6854557348451804</v>
      </c>
      <c r="M2090">
        <v>25.4</v>
      </c>
    </row>
    <row r="2091" spans="1:15" x14ac:dyDescent="0.25">
      <c r="A2091" t="s">
        <v>428</v>
      </c>
      <c r="B2091" s="1" t="s">
        <v>412</v>
      </c>
      <c r="C2091" s="1">
        <v>2016</v>
      </c>
      <c r="D2091" s="1">
        <v>2</v>
      </c>
      <c r="E2091" s="1">
        <v>2</v>
      </c>
      <c r="F2091" s="1">
        <v>2</v>
      </c>
      <c r="G2091" s="1">
        <v>0</v>
      </c>
      <c r="H2091" s="5">
        <v>1.25</v>
      </c>
      <c r="I2091" s="2">
        <f>1/0.96</f>
        <v>1.0416666666666667</v>
      </c>
      <c r="J2091" s="6">
        <v>36688</v>
      </c>
      <c r="K2091" s="7">
        <v>1.6517662450937638</v>
      </c>
      <c r="L2091" s="7">
        <v>4.6854557348451804</v>
      </c>
      <c r="M2091">
        <v>26</v>
      </c>
      <c r="O2091" s="7"/>
    </row>
    <row r="2092" spans="1:15" x14ac:dyDescent="0.25">
      <c r="A2092" t="s">
        <v>428</v>
      </c>
      <c r="B2092" s="1" t="s">
        <v>412</v>
      </c>
      <c r="C2092" s="1">
        <v>2017</v>
      </c>
      <c r="D2092" s="1">
        <v>2</v>
      </c>
      <c r="E2092" s="1">
        <v>2</v>
      </c>
      <c r="F2092" s="1">
        <v>2</v>
      </c>
      <c r="G2092" s="1">
        <v>0</v>
      </c>
      <c r="H2092" s="5">
        <v>1.84</v>
      </c>
      <c r="I2092" s="2">
        <f>1/0.95</f>
        <v>1.0526315789473684</v>
      </c>
      <c r="J2092">
        <v>38371</v>
      </c>
      <c r="K2092">
        <v>1.6517662450937638</v>
      </c>
      <c r="L2092">
        <v>4.6854557348451804</v>
      </c>
      <c r="M2092">
        <v>26.4</v>
      </c>
    </row>
    <row r="2093" spans="1:15" x14ac:dyDescent="0.25">
      <c r="A2093" s="8" t="s">
        <v>428</v>
      </c>
      <c r="B2093" s="1" t="s">
        <v>412</v>
      </c>
      <c r="C2093" s="1">
        <v>2018</v>
      </c>
      <c r="D2093" s="1">
        <v>2</v>
      </c>
      <c r="E2093" s="1">
        <v>2</v>
      </c>
      <c r="F2093" s="1">
        <v>2</v>
      </c>
      <c r="G2093" s="1">
        <v>0</v>
      </c>
      <c r="H2093" s="5">
        <v>2.04</v>
      </c>
      <c r="I2093" s="2">
        <f>1/1.03</f>
        <v>0.970873786407767</v>
      </c>
      <c r="J2093" s="3">
        <v>38926</v>
      </c>
      <c r="K2093">
        <v>1.6517662450937638</v>
      </c>
      <c r="L2093">
        <v>4.6854557348451804</v>
      </c>
      <c r="M2093">
        <v>26.8</v>
      </c>
    </row>
    <row r="2094" spans="1:15" x14ac:dyDescent="0.25">
      <c r="A2094" s="8" t="s">
        <v>429</v>
      </c>
      <c r="B2094" s="1" t="s">
        <v>412</v>
      </c>
      <c r="C2094" s="1">
        <v>2014</v>
      </c>
      <c r="D2094" s="1">
        <v>1</v>
      </c>
      <c r="E2094" s="1">
        <v>1</v>
      </c>
      <c r="F2094" s="1">
        <v>1</v>
      </c>
      <c r="G2094" s="1">
        <v>0</v>
      </c>
      <c r="H2094" s="5">
        <v>1.1599999999999999</v>
      </c>
      <c r="I2094" s="2">
        <f>1/0.67</f>
        <v>1.4925373134328357</v>
      </c>
      <c r="J2094" s="3">
        <v>27940</v>
      </c>
      <c r="K2094">
        <v>0.28377268314539617</v>
      </c>
      <c r="L2094">
        <v>13.867522963184229</v>
      </c>
      <c r="M2094">
        <v>1272.5999999999999</v>
      </c>
    </row>
    <row r="2095" spans="1:15" x14ac:dyDescent="0.25">
      <c r="A2095" s="8" t="s">
        <v>429</v>
      </c>
      <c r="B2095" s="1" t="s">
        <v>412</v>
      </c>
      <c r="C2095" s="1">
        <v>2015</v>
      </c>
      <c r="D2095" s="1">
        <v>1</v>
      </c>
      <c r="E2095" s="1">
        <v>1</v>
      </c>
      <c r="F2095" s="1">
        <v>1</v>
      </c>
      <c r="G2095" s="1">
        <v>0</v>
      </c>
      <c r="H2095" s="5">
        <v>1.51</v>
      </c>
      <c r="I2095" s="2">
        <f>1/0.82</f>
        <v>1.2195121951219512</v>
      </c>
      <c r="J2095" s="3">
        <v>27988</v>
      </c>
      <c r="K2095">
        <v>0.28377268314539617</v>
      </c>
      <c r="L2095">
        <v>13.867522963184229</v>
      </c>
      <c r="M2095">
        <v>1274.8</v>
      </c>
    </row>
    <row r="2096" spans="1:15" x14ac:dyDescent="0.25">
      <c r="A2096" t="s">
        <v>429</v>
      </c>
      <c r="B2096" s="1" t="s">
        <v>412</v>
      </c>
      <c r="C2096" s="1">
        <v>2016</v>
      </c>
      <c r="D2096" s="1">
        <v>1</v>
      </c>
      <c r="E2096" s="1">
        <v>1</v>
      </c>
      <c r="F2096" s="1">
        <v>1</v>
      </c>
      <c r="G2096" s="1">
        <v>0</v>
      </c>
      <c r="H2096" s="5">
        <v>4.34</v>
      </c>
      <c r="I2096" s="2">
        <f>1/0.92</f>
        <v>1.0869565217391304</v>
      </c>
      <c r="J2096" s="6">
        <v>26782</v>
      </c>
      <c r="K2096" s="7">
        <v>0.28377268314539617</v>
      </c>
      <c r="L2096" s="7">
        <v>13.867522963184229</v>
      </c>
      <c r="M2096">
        <v>1274.9000000000001</v>
      </c>
      <c r="O2096" s="7"/>
    </row>
    <row r="2097" spans="1:15" x14ac:dyDescent="0.25">
      <c r="A2097" t="s">
        <v>429</v>
      </c>
      <c r="B2097" s="1" t="s">
        <v>412</v>
      </c>
      <c r="C2097" s="1">
        <v>2017</v>
      </c>
      <c r="D2097" s="1">
        <v>1</v>
      </c>
      <c r="E2097" s="1">
        <v>1</v>
      </c>
      <c r="F2097" s="1">
        <v>1</v>
      </c>
      <c r="G2097" s="1">
        <v>0</v>
      </c>
      <c r="H2097" s="5">
        <v>3.71</v>
      </c>
      <c r="I2097" s="2">
        <f>1/0.61</f>
        <v>1.639344262295082</v>
      </c>
      <c r="J2097">
        <v>28316</v>
      </c>
      <c r="K2097">
        <v>0.28377268314539617</v>
      </c>
      <c r="L2097">
        <v>13.867522963184229</v>
      </c>
      <c r="M2097">
        <v>1289.7</v>
      </c>
    </row>
    <row r="2098" spans="1:15" x14ac:dyDescent="0.25">
      <c r="A2098" s="8" t="s">
        <v>429</v>
      </c>
      <c r="B2098" s="1" t="s">
        <v>412</v>
      </c>
      <c r="C2098" s="1">
        <v>2018</v>
      </c>
      <c r="D2098" s="1">
        <v>1</v>
      </c>
      <c r="E2098" s="1">
        <v>1</v>
      </c>
      <c r="F2098" s="1">
        <v>1</v>
      </c>
      <c r="G2098" s="1">
        <v>0</v>
      </c>
      <c r="H2098" s="5">
        <v>1.78</v>
      </c>
      <c r="I2098" s="2">
        <f>1/0.99</f>
        <v>1.0101010101010102</v>
      </c>
      <c r="J2098" s="3">
        <v>28481</v>
      </c>
      <c r="K2098">
        <v>0.28377268314539617</v>
      </c>
      <c r="L2098">
        <v>13.867522963184229</v>
      </c>
      <c r="M2098">
        <v>1297.2</v>
      </c>
    </row>
    <row r="2099" spans="1:15" x14ac:dyDescent="0.25">
      <c r="A2099" s="8" t="s">
        <v>430</v>
      </c>
      <c r="B2099" s="1" t="s">
        <v>412</v>
      </c>
      <c r="C2099" s="1">
        <v>2014</v>
      </c>
      <c r="D2099" s="1">
        <v>1</v>
      </c>
      <c r="E2099" s="1">
        <v>1</v>
      </c>
      <c r="F2099" s="1">
        <v>1</v>
      </c>
      <c r="G2099" s="1">
        <v>0</v>
      </c>
      <c r="H2099" s="5">
        <v>0.71</v>
      </c>
      <c r="I2099" s="2">
        <f>1/1.06</f>
        <v>0.94339622641509424</v>
      </c>
      <c r="J2099" s="3">
        <v>93843</v>
      </c>
      <c r="K2099">
        <v>0.99238249415104174</v>
      </c>
      <c r="L2099">
        <v>39.721911140186499</v>
      </c>
      <c r="M2099">
        <v>1446.4</v>
      </c>
    </row>
    <row r="2100" spans="1:15" x14ac:dyDescent="0.25">
      <c r="A2100" s="8" t="s">
        <v>430</v>
      </c>
      <c r="B2100" s="1" t="s">
        <v>412</v>
      </c>
      <c r="C2100" s="1">
        <v>2015</v>
      </c>
      <c r="D2100" s="1">
        <v>1</v>
      </c>
      <c r="E2100" s="1">
        <v>1</v>
      </c>
      <c r="F2100" s="1">
        <v>1</v>
      </c>
      <c r="G2100" s="1">
        <v>0</v>
      </c>
      <c r="H2100" s="5">
        <v>0.5</v>
      </c>
      <c r="I2100" s="2">
        <f>1/1.16</f>
        <v>0.86206896551724144</v>
      </c>
      <c r="J2100" s="3">
        <v>93959</v>
      </c>
      <c r="K2100">
        <v>0.99238249415104174</v>
      </c>
      <c r="L2100">
        <v>39.721911140186499</v>
      </c>
      <c r="M2100">
        <v>1448.2</v>
      </c>
    </row>
    <row r="2101" spans="1:15" x14ac:dyDescent="0.25">
      <c r="A2101" t="s">
        <v>430</v>
      </c>
      <c r="B2101" s="1" t="s">
        <v>412</v>
      </c>
      <c r="C2101" s="1">
        <v>2016</v>
      </c>
      <c r="D2101" s="1">
        <v>1</v>
      </c>
      <c r="E2101" s="1">
        <v>1</v>
      </c>
      <c r="F2101" s="1">
        <v>1</v>
      </c>
      <c r="G2101" s="1">
        <v>0</v>
      </c>
      <c r="H2101" s="5">
        <v>0.53</v>
      </c>
      <c r="I2101" s="2">
        <f>1/1.09</f>
        <v>0.9174311926605504</v>
      </c>
      <c r="J2101" s="6">
        <v>90187</v>
      </c>
      <c r="K2101" s="7">
        <v>0.99238249415104174</v>
      </c>
      <c r="L2101" s="7">
        <v>39.721911140186499</v>
      </c>
      <c r="M2101">
        <v>1444.7</v>
      </c>
      <c r="O2101" s="7"/>
    </row>
    <row r="2102" spans="1:15" x14ac:dyDescent="0.25">
      <c r="A2102" t="s">
        <v>430</v>
      </c>
      <c r="B2102" s="1" t="s">
        <v>412</v>
      </c>
      <c r="C2102" s="1">
        <v>2017</v>
      </c>
      <c r="D2102" s="1">
        <v>1</v>
      </c>
      <c r="E2102" s="1">
        <v>1</v>
      </c>
      <c r="F2102" s="1">
        <v>1</v>
      </c>
      <c r="G2102" s="1">
        <v>0</v>
      </c>
      <c r="H2102" s="5">
        <v>0.6</v>
      </c>
      <c r="I2102" s="2">
        <f>1/1.04</f>
        <v>0.96153846153846145</v>
      </c>
      <c r="J2102">
        <v>93164</v>
      </c>
      <c r="K2102">
        <v>0.99238249415104174</v>
      </c>
      <c r="L2102">
        <v>39.721911140186499</v>
      </c>
      <c r="M2102">
        <v>1436</v>
      </c>
    </row>
    <row r="2103" spans="1:15" x14ac:dyDescent="0.25">
      <c r="A2103" s="8" t="s">
        <v>430</v>
      </c>
      <c r="B2103" s="1" t="s">
        <v>412</v>
      </c>
      <c r="C2103" s="1">
        <v>2018</v>
      </c>
      <c r="D2103" s="1">
        <v>1</v>
      </c>
      <c r="E2103" s="1">
        <v>1</v>
      </c>
      <c r="F2103" s="1">
        <v>1</v>
      </c>
      <c r="G2103" s="1">
        <v>0</v>
      </c>
      <c r="H2103" s="5">
        <v>0.79</v>
      </c>
      <c r="I2103" s="2">
        <f>1/0.99</f>
        <v>1.0101010101010102</v>
      </c>
      <c r="J2103" s="3">
        <v>92965</v>
      </c>
      <c r="K2103">
        <v>0.99238249415104174</v>
      </c>
      <c r="L2103">
        <v>39.721911140186499</v>
      </c>
      <c r="M2103">
        <v>1432.9</v>
      </c>
    </row>
    <row r="2104" spans="1:15" x14ac:dyDescent="0.25">
      <c r="A2104" s="8" t="s">
        <v>431</v>
      </c>
      <c r="B2104" s="1" t="s">
        <v>412</v>
      </c>
      <c r="C2104" s="1">
        <v>2014</v>
      </c>
      <c r="D2104" s="1">
        <v>2</v>
      </c>
      <c r="E2104" s="1">
        <v>2</v>
      </c>
      <c r="F2104" s="1">
        <v>2</v>
      </c>
      <c r="G2104" s="1">
        <v>0</v>
      </c>
      <c r="H2104" s="5">
        <v>0.34</v>
      </c>
      <c r="I2104" s="2">
        <f>1/16</f>
        <v>6.25E-2</v>
      </c>
      <c r="J2104" s="3">
        <v>16934</v>
      </c>
      <c r="K2104">
        <v>2.3304713509724899</v>
      </c>
      <c r="L2104">
        <v>7.9200981251095151</v>
      </c>
      <c r="M2104">
        <v>30.4</v>
      </c>
    </row>
    <row r="2105" spans="1:15" x14ac:dyDescent="0.25">
      <c r="A2105" s="8" t="s">
        <v>431</v>
      </c>
      <c r="B2105" s="1" t="s">
        <v>412</v>
      </c>
      <c r="C2105" s="1">
        <v>2015</v>
      </c>
      <c r="D2105" s="1">
        <v>2</v>
      </c>
      <c r="E2105" s="1">
        <v>2</v>
      </c>
      <c r="F2105" s="1">
        <v>2</v>
      </c>
      <c r="G2105" s="1">
        <v>0</v>
      </c>
      <c r="H2105" s="5">
        <v>0.59</v>
      </c>
      <c r="I2105" s="2">
        <f>1/1.07</f>
        <v>0.93457943925233644</v>
      </c>
      <c r="J2105" s="3">
        <v>17250</v>
      </c>
      <c r="K2105">
        <v>2.3304713509724899</v>
      </c>
      <c r="L2105">
        <v>7.9200981251095151</v>
      </c>
      <c r="M2105">
        <v>30.9</v>
      </c>
    </row>
    <row r="2106" spans="1:15" x14ac:dyDescent="0.25">
      <c r="A2106" t="s">
        <v>431</v>
      </c>
      <c r="B2106" s="1" t="s">
        <v>412</v>
      </c>
      <c r="C2106" s="1">
        <v>2016</v>
      </c>
      <c r="D2106" s="1">
        <v>2</v>
      </c>
      <c r="E2106" s="1">
        <v>2</v>
      </c>
      <c r="F2106" s="1">
        <v>2</v>
      </c>
      <c r="G2106" s="1">
        <v>0</v>
      </c>
      <c r="H2106" s="5">
        <v>0.18</v>
      </c>
      <c r="I2106" s="2">
        <f>1/1.3</f>
        <v>0.76923076923076916</v>
      </c>
      <c r="J2106" s="6">
        <v>17121</v>
      </c>
      <c r="K2106" s="7">
        <v>2.3304713509724899</v>
      </c>
      <c r="L2106" s="7">
        <v>7.9200981251095151</v>
      </c>
      <c r="M2106">
        <v>31.1</v>
      </c>
      <c r="O2106" s="7"/>
    </row>
    <row r="2107" spans="1:15" x14ac:dyDescent="0.25">
      <c r="A2107" t="s">
        <v>431</v>
      </c>
      <c r="B2107" s="1" t="s">
        <v>412</v>
      </c>
      <c r="C2107" s="1">
        <v>2017</v>
      </c>
      <c r="D2107" s="1">
        <v>2</v>
      </c>
      <c r="E2107" s="1">
        <v>2</v>
      </c>
      <c r="F2107" s="1">
        <v>2</v>
      </c>
      <c r="G2107" s="1">
        <v>0</v>
      </c>
      <c r="H2107" s="5">
        <v>0.48</v>
      </c>
      <c r="I2107" s="5">
        <v>1</v>
      </c>
      <c r="J2107">
        <v>17734</v>
      </c>
      <c r="K2107">
        <v>2.3304713509724899</v>
      </c>
      <c r="L2107">
        <v>7.9200981251095151</v>
      </c>
      <c r="M2107">
        <v>31.8</v>
      </c>
    </row>
    <row r="2108" spans="1:15" x14ac:dyDescent="0.25">
      <c r="A2108" s="8" t="s">
        <v>431</v>
      </c>
      <c r="B2108" s="1" t="s">
        <v>412</v>
      </c>
      <c r="C2108" s="1">
        <v>2018</v>
      </c>
      <c r="D2108" s="1">
        <v>2</v>
      </c>
      <c r="E2108" s="1">
        <v>2</v>
      </c>
      <c r="F2108" s="1">
        <v>2</v>
      </c>
      <c r="G2108" s="1">
        <v>0</v>
      </c>
      <c r="H2108" s="5">
        <v>0.33</v>
      </c>
      <c r="I2108" s="2">
        <f>1/1.04</f>
        <v>0.96153846153846145</v>
      </c>
      <c r="J2108" s="3">
        <v>18022</v>
      </c>
      <c r="K2108">
        <v>2.3304713509724899</v>
      </c>
      <c r="L2108">
        <v>7.9200981251095151</v>
      </c>
      <c r="M2108">
        <v>32.299999999999997</v>
      </c>
    </row>
    <row r="2109" spans="1:15" x14ac:dyDescent="0.25">
      <c r="A2109" s="8" t="s">
        <v>432</v>
      </c>
      <c r="B2109" s="1" t="s">
        <v>412</v>
      </c>
      <c r="C2109" s="1">
        <v>2014</v>
      </c>
      <c r="D2109" s="1">
        <v>4</v>
      </c>
      <c r="E2109" s="1">
        <v>4</v>
      </c>
      <c r="F2109" s="1">
        <v>4</v>
      </c>
      <c r="G2109" s="1">
        <v>0</v>
      </c>
      <c r="H2109" s="5">
        <v>2.11</v>
      </c>
      <c r="I2109" s="2">
        <f>1/0.73</f>
        <v>1.3698630136986301</v>
      </c>
      <c r="J2109" s="3">
        <v>566</v>
      </c>
      <c r="K2109">
        <v>3.6297640653357535</v>
      </c>
      <c r="L2109">
        <v>3.8112522686025407</v>
      </c>
      <c r="M2109">
        <v>0.2</v>
      </c>
    </row>
    <row r="2110" spans="1:15" x14ac:dyDescent="0.25">
      <c r="A2110" s="8" t="s">
        <v>432</v>
      </c>
      <c r="B2110" s="1" t="s">
        <v>412</v>
      </c>
      <c r="C2110" s="1">
        <v>2015</v>
      </c>
      <c r="D2110" s="1">
        <v>4</v>
      </c>
      <c r="E2110" s="1">
        <v>4</v>
      </c>
      <c r="F2110" s="1">
        <v>4</v>
      </c>
      <c r="G2110" s="1">
        <v>0</v>
      </c>
      <c r="H2110" s="5">
        <v>1.45</v>
      </c>
      <c r="I2110" s="2">
        <f>1/0.75</f>
        <v>1.3333333333333333</v>
      </c>
      <c r="J2110" s="3">
        <v>568</v>
      </c>
      <c r="K2110">
        <v>3.6297640653357535</v>
      </c>
      <c r="L2110">
        <v>3.8112522686025407</v>
      </c>
      <c r="M2110">
        <v>0.2</v>
      </c>
    </row>
    <row r="2111" spans="1:15" x14ac:dyDescent="0.25">
      <c r="A2111" t="s">
        <v>432</v>
      </c>
      <c r="B2111" s="1" t="s">
        <v>412</v>
      </c>
      <c r="C2111" s="1">
        <v>2016</v>
      </c>
      <c r="D2111" s="1">
        <v>4</v>
      </c>
      <c r="E2111" s="1">
        <v>4</v>
      </c>
      <c r="F2111" s="1">
        <v>4</v>
      </c>
      <c r="G2111" s="1">
        <v>0</v>
      </c>
      <c r="H2111" s="5">
        <v>2.67</v>
      </c>
      <c r="I2111" s="2">
        <f>1/1.12</f>
        <v>0.89285714285714279</v>
      </c>
      <c r="J2111" s="6">
        <v>551</v>
      </c>
      <c r="K2111" s="7">
        <v>3.6297640653357535</v>
      </c>
      <c r="L2111" s="7">
        <v>3.8112522686025407</v>
      </c>
      <c r="M2111">
        <v>0.2</v>
      </c>
      <c r="O2111" s="7"/>
    </row>
    <row r="2112" spans="1:15" x14ac:dyDescent="0.25">
      <c r="A2112" t="s">
        <v>432</v>
      </c>
      <c r="B2112" s="1" t="s">
        <v>412</v>
      </c>
      <c r="C2112" s="1">
        <v>2017</v>
      </c>
      <c r="D2112" s="1">
        <v>4</v>
      </c>
      <c r="E2112" s="1">
        <v>4</v>
      </c>
      <c r="F2112" s="1">
        <v>4</v>
      </c>
      <c r="G2112" s="1">
        <v>0</v>
      </c>
      <c r="H2112" s="5">
        <v>2.88</v>
      </c>
      <c r="I2112" s="2">
        <f>1/0.7</f>
        <v>1.4285714285714286</v>
      </c>
      <c r="J2112">
        <v>561</v>
      </c>
      <c r="K2112">
        <v>3.6297640653357535</v>
      </c>
      <c r="L2112">
        <v>3.8112522686025407</v>
      </c>
      <c r="M2112">
        <v>0.2</v>
      </c>
    </row>
    <row r="2113" spans="1:15" x14ac:dyDescent="0.25">
      <c r="A2113" s="8" t="s">
        <v>432</v>
      </c>
      <c r="B2113" s="1" t="s">
        <v>412</v>
      </c>
      <c r="C2113" s="1">
        <v>2018</v>
      </c>
      <c r="D2113" s="1">
        <v>4</v>
      </c>
      <c r="E2113" s="1">
        <v>4</v>
      </c>
      <c r="F2113" s="1">
        <v>4</v>
      </c>
      <c r="G2113" s="1">
        <v>0</v>
      </c>
      <c r="H2113" s="5">
        <v>6.57</v>
      </c>
      <c r="I2113" s="2">
        <f>1/1.14</f>
        <v>0.87719298245614041</v>
      </c>
      <c r="J2113" s="3">
        <v>541</v>
      </c>
      <c r="K2113">
        <v>3.6297640653357535</v>
      </c>
      <c r="L2113">
        <v>3.8112522686025407</v>
      </c>
      <c r="M2113">
        <v>0.2</v>
      </c>
    </row>
    <row r="2114" spans="1:15" x14ac:dyDescent="0.25">
      <c r="A2114" s="8" t="s">
        <v>433</v>
      </c>
      <c r="B2114" s="1" t="s">
        <v>412</v>
      </c>
      <c r="C2114" s="1">
        <v>2014</v>
      </c>
      <c r="D2114" s="1">
        <v>5</v>
      </c>
      <c r="E2114" s="1">
        <v>5</v>
      </c>
      <c r="F2114" s="1">
        <v>5</v>
      </c>
      <c r="G2114" s="1">
        <v>0</v>
      </c>
      <c r="H2114" s="2">
        <v>0.17</v>
      </c>
      <c r="I2114" s="2">
        <f>1/4.5</f>
        <v>0.22222222222222221</v>
      </c>
      <c r="J2114" s="3">
        <v>5951</v>
      </c>
      <c r="K2114">
        <v>17.994207096307026</v>
      </c>
      <c r="L2114">
        <v>12.509051412020275</v>
      </c>
      <c r="M2114">
        <v>0.1</v>
      </c>
    </row>
    <row r="2115" spans="1:15" x14ac:dyDescent="0.25">
      <c r="A2115" s="8" t="s">
        <v>433</v>
      </c>
      <c r="B2115" s="1" t="s">
        <v>412</v>
      </c>
      <c r="C2115" s="1">
        <v>2015</v>
      </c>
      <c r="D2115" s="1">
        <v>5</v>
      </c>
      <c r="E2115" s="1">
        <v>5</v>
      </c>
      <c r="F2115" s="1">
        <v>5</v>
      </c>
      <c r="G2115" s="1">
        <v>0</v>
      </c>
      <c r="H2115" s="2">
        <v>0.54</v>
      </c>
      <c r="I2115" s="2">
        <f>1/2.14</f>
        <v>0.46728971962616822</v>
      </c>
      <c r="J2115" s="3">
        <v>5844</v>
      </c>
      <c r="K2115">
        <v>17.994207096307026</v>
      </c>
      <c r="L2115">
        <v>12.509051412020275</v>
      </c>
      <c r="M2115">
        <v>0.1</v>
      </c>
    </row>
    <row r="2116" spans="1:15" x14ac:dyDescent="0.25">
      <c r="A2116" t="s">
        <v>433</v>
      </c>
      <c r="B2116" s="1" t="s">
        <v>412</v>
      </c>
      <c r="C2116" s="1">
        <v>2016</v>
      </c>
      <c r="D2116" s="1">
        <v>5</v>
      </c>
      <c r="E2116" s="1">
        <v>5</v>
      </c>
      <c r="F2116" s="1">
        <v>5</v>
      </c>
      <c r="G2116" s="1">
        <v>0</v>
      </c>
      <c r="H2116" s="2">
        <v>0.57999999999999996</v>
      </c>
      <c r="I2116" s="2">
        <f>1/1.97</f>
        <v>0.50761421319796951</v>
      </c>
      <c r="J2116" s="6">
        <v>5524</v>
      </c>
      <c r="K2116" s="7">
        <v>17.994207096307026</v>
      </c>
      <c r="L2116" s="7">
        <v>12.509051412020275</v>
      </c>
      <c r="M2116">
        <v>0.1</v>
      </c>
      <c r="O2116" s="7"/>
    </row>
    <row r="2117" spans="1:15" x14ac:dyDescent="0.25">
      <c r="A2117" t="s">
        <v>433</v>
      </c>
      <c r="B2117" s="1" t="s">
        <v>412</v>
      </c>
      <c r="C2117" s="1">
        <v>2017</v>
      </c>
      <c r="D2117" s="1">
        <v>5</v>
      </c>
      <c r="E2117" s="1">
        <v>5</v>
      </c>
      <c r="F2117" s="1">
        <v>5</v>
      </c>
      <c r="G2117" s="1">
        <v>0</v>
      </c>
      <c r="H2117" s="2">
        <v>0.7</v>
      </c>
      <c r="I2117" s="2">
        <f>1/1.37</f>
        <v>0.72992700729927007</v>
      </c>
      <c r="J2117">
        <v>5539</v>
      </c>
      <c r="K2117">
        <v>17.994207096307026</v>
      </c>
      <c r="L2117">
        <v>12.509051412020275</v>
      </c>
      <c r="M2117">
        <v>0.1</v>
      </c>
    </row>
    <row r="2118" spans="1:15" x14ac:dyDescent="0.25">
      <c r="A2118" s="8" t="s">
        <v>433</v>
      </c>
      <c r="B2118" s="1" t="s">
        <v>412</v>
      </c>
      <c r="C2118" s="1">
        <v>2018</v>
      </c>
      <c r="D2118" s="1">
        <v>5</v>
      </c>
      <c r="E2118" s="1">
        <v>5</v>
      </c>
      <c r="F2118" s="1">
        <v>5</v>
      </c>
      <c r="G2118" s="1">
        <v>0</v>
      </c>
      <c r="H2118" s="5">
        <v>0.48</v>
      </c>
      <c r="I2118" s="2">
        <f>1/1.87</f>
        <v>0.53475935828876997</v>
      </c>
      <c r="J2118" s="3">
        <v>5362</v>
      </c>
      <c r="K2118">
        <v>17.994207096307026</v>
      </c>
      <c r="L2118">
        <v>12.509051412020275</v>
      </c>
      <c r="M2118">
        <v>0.1</v>
      </c>
    </row>
    <row r="2119" spans="1:15" x14ac:dyDescent="0.25">
      <c r="A2119" s="8" t="s">
        <v>434</v>
      </c>
      <c r="B2119" s="1" t="s">
        <v>412</v>
      </c>
      <c r="C2119" s="1">
        <v>2014</v>
      </c>
      <c r="D2119" s="1">
        <v>3</v>
      </c>
      <c r="E2119" s="1">
        <v>4</v>
      </c>
      <c r="F2119" s="1">
        <v>3.5</v>
      </c>
      <c r="G2119" s="1">
        <v>1</v>
      </c>
      <c r="H2119" s="5">
        <v>2.14</v>
      </c>
      <c r="I2119" s="2">
        <f>1/0.99</f>
        <v>1.0101010101010102</v>
      </c>
      <c r="J2119" s="3">
        <v>1379</v>
      </c>
      <c r="K2119">
        <v>3.8841807909604524</v>
      </c>
      <c r="L2119">
        <v>2.4717514124293785</v>
      </c>
      <c r="M2119">
        <v>0.3</v>
      </c>
    </row>
    <row r="2120" spans="1:15" x14ac:dyDescent="0.25">
      <c r="A2120" s="8" t="s">
        <v>434</v>
      </c>
      <c r="B2120" s="1" t="s">
        <v>412</v>
      </c>
      <c r="C2120" s="1">
        <v>2015</v>
      </c>
      <c r="D2120" s="1">
        <v>3</v>
      </c>
      <c r="E2120" s="1">
        <v>4</v>
      </c>
      <c r="F2120" s="1">
        <v>3.5</v>
      </c>
      <c r="G2120" s="1">
        <v>1</v>
      </c>
      <c r="H2120" s="5">
        <v>0.66</v>
      </c>
      <c r="I2120" s="2">
        <f>1/0.93</f>
        <v>1.075268817204301</v>
      </c>
      <c r="J2120" s="3">
        <v>1413</v>
      </c>
      <c r="K2120">
        <v>3.8841807909604524</v>
      </c>
      <c r="L2120">
        <v>2.4717514124293785</v>
      </c>
      <c r="M2120">
        <v>0.4</v>
      </c>
    </row>
    <row r="2121" spans="1:15" x14ac:dyDescent="0.25">
      <c r="A2121" t="s">
        <v>434</v>
      </c>
      <c r="B2121" s="1" t="s">
        <v>412</v>
      </c>
      <c r="C2121" s="1">
        <v>2016</v>
      </c>
      <c r="D2121" s="1">
        <v>3</v>
      </c>
      <c r="E2121" s="1">
        <v>4</v>
      </c>
      <c r="F2121" s="1">
        <v>3.5</v>
      </c>
      <c r="G2121" s="1">
        <v>1</v>
      </c>
      <c r="H2121" s="5">
        <v>0.77</v>
      </c>
      <c r="I2121" s="2">
        <f>1/1.02</f>
        <v>0.98039215686274506</v>
      </c>
      <c r="J2121" s="6">
        <v>1416</v>
      </c>
      <c r="K2121" s="7">
        <v>3.8841807909604524</v>
      </c>
      <c r="L2121" s="7">
        <v>2.4717514124293785</v>
      </c>
      <c r="M2121">
        <v>0.4</v>
      </c>
      <c r="O2121" s="7"/>
    </row>
    <row r="2122" spans="1:15" x14ac:dyDescent="0.25">
      <c r="A2122" t="s">
        <v>434</v>
      </c>
      <c r="B2122" s="1" t="s">
        <v>412</v>
      </c>
      <c r="C2122" s="1">
        <v>2017</v>
      </c>
      <c r="D2122" s="1">
        <v>3</v>
      </c>
      <c r="E2122" s="1">
        <v>4</v>
      </c>
      <c r="F2122" s="1">
        <v>3.5</v>
      </c>
      <c r="G2122" s="1">
        <v>1</v>
      </c>
      <c r="H2122" s="5">
        <v>1.41</v>
      </c>
      <c r="I2122" s="2">
        <f>1/1.12</f>
        <v>0.89285714285714279</v>
      </c>
      <c r="J2122">
        <v>1470</v>
      </c>
      <c r="K2122">
        <v>3.8841807909604524</v>
      </c>
      <c r="L2122">
        <v>2.4717514124293785</v>
      </c>
      <c r="M2122">
        <v>0.4</v>
      </c>
    </row>
    <row r="2123" spans="1:15" x14ac:dyDescent="0.25">
      <c r="A2123" s="8" t="s">
        <v>434</v>
      </c>
      <c r="B2123" s="1" t="s">
        <v>412</v>
      </c>
      <c r="C2123" s="1">
        <v>2018</v>
      </c>
      <c r="D2123" s="1">
        <v>3</v>
      </c>
      <c r="E2123" s="1">
        <v>4</v>
      </c>
      <c r="F2123" s="1">
        <v>3.5</v>
      </c>
      <c r="G2123" s="1">
        <v>1</v>
      </c>
      <c r="H2123" s="5">
        <v>0.96</v>
      </c>
      <c r="I2123" s="2">
        <f>1/1.34</f>
        <v>0.74626865671641784</v>
      </c>
      <c r="J2123" s="3">
        <v>1492</v>
      </c>
      <c r="K2123">
        <v>3.8841807909604524</v>
      </c>
      <c r="L2123">
        <v>2.4717514124293785</v>
      </c>
      <c r="M2123">
        <v>0.4</v>
      </c>
    </row>
    <row r="2124" spans="1:15" x14ac:dyDescent="0.25">
      <c r="A2124" s="8" t="s">
        <v>435</v>
      </c>
      <c r="B2124" s="1" t="s">
        <v>412</v>
      </c>
      <c r="C2124" s="1">
        <v>2014</v>
      </c>
      <c r="D2124" s="1">
        <v>2</v>
      </c>
      <c r="E2124" s="1">
        <v>3</v>
      </c>
      <c r="F2124" s="1">
        <v>2.5</v>
      </c>
      <c r="G2124" s="1">
        <v>1</v>
      </c>
      <c r="H2124" s="5">
        <v>1.46</v>
      </c>
      <c r="I2124" s="2">
        <f>1/1.08</f>
        <v>0.92592592592592582</v>
      </c>
      <c r="J2124" s="3">
        <v>5361</v>
      </c>
      <c r="K2124">
        <v>2.2835221044939713</v>
      </c>
      <c r="L2124">
        <v>3.2151991231275123</v>
      </c>
      <c r="M2124">
        <v>4.4000000000000004</v>
      </c>
    </row>
    <row r="2125" spans="1:15" x14ac:dyDescent="0.25">
      <c r="A2125" s="8" t="s">
        <v>435</v>
      </c>
      <c r="B2125" s="1" t="s">
        <v>412</v>
      </c>
      <c r="C2125" s="1">
        <v>2015</v>
      </c>
      <c r="D2125" s="1">
        <v>2</v>
      </c>
      <c r="E2125" s="1">
        <v>3</v>
      </c>
      <c r="F2125" s="1">
        <v>2.5</v>
      </c>
      <c r="G2125" s="1">
        <v>1</v>
      </c>
      <c r="H2125" s="5">
        <v>1.49</v>
      </c>
      <c r="I2125" s="2">
        <f>1/0.96</f>
        <v>1.0416666666666667</v>
      </c>
      <c r="J2125" s="3">
        <v>5500</v>
      </c>
      <c r="K2125">
        <v>2.2835221044939713</v>
      </c>
      <c r="L2125">
        <v>3.2151991231275123</v>
      </c>
      <c r="M2125">
        <v>4.5</v>
      </c>
    </row>
    <row r="2126" spans="1:15" x14ac:dyDescent="0.25">
      <c r="A2126" t="s">
        <v>435</v>
      </c>
      <c r="B2126" s="1" t="s">
        <v>412</v>
      </c>
      <c r="C2126" s="1">
        <v>2016</v>
      </c>
      <c r="D2126" s="1">
        <v>2</v>
      </c>
      <c r="E2126" s="1">
        <v>3</v>
      </c>
      <c r="F2126" s="1">
        <v>2.5</v>
      </c>
      <c r="G2126" s="1">
        <v>1</v>
      </c>
      <c r="H2126" s="5">
        <v>0.43</v>
      </c>
      <c r="I2126" s="2">
        <f>1/1.5</f>
        <v>0.66666666666666663</v>
      </c>
      <c r="J2126" s="6">
        <v>5474</v>
      </c>
      <c r="K2126" s="7">
        <v>2.2835221044939713</v>
      </c>
      <c r="L2126" s="7">
        <v>3.2151991231275123</v>
      </c>
      <c r="M2126">
        <v>4.5</v>
      </c>
      <c r="O2126" s="7"/>
    </row>
    <row r="2127" spans="1:15" x14ac:dyDescent="0.25">
      <c r="A2127" t="s">
        <v>435</v>
      </c>
      <c r="B2127" s="1" t="s">
        <v>412</v>
      </c>
      <c r="C2127" s="1">
        <v>2017</v>
      </c>
      <c r="D2127" s="1">
        <v>2</v>
      </c>
      <c r="E2127" s="1">
        <v>3</v>
      </c>
      <c r="F2127" s="1">
        <v>2.5</v>
      </c>
      <c r="G2127" s="1">
        <v>1</v>
      </c>
      <c r="H2127" s="5">
        <v>0.78</v>
      </c>
      <c r="I2127" s="2">
        <f>1/1.26</f>
        <v>0.79365079365079361</v>
      </c>
      <c r="J2127">
        <v>5621</v>
      </c>
      <c r="K2127">
        <v>2.2835221044939713</v>
      </c>
      <c r="L2127">
        <v>3.2151991231275123</v>
      </c>
      <c r="M2127">
        <v>4.5999999999999996</v>
      </c>
    </row>
    <row r="2128" spans="1:15" x14ac:dyDescent="0.25">
      <c r="A2128" s="8" t="s">
        <v>435</v>
      </c>
      <c r="B2128" s="1" t="s">
        <v>412</v>
      </c>
      <c r="C2128" s="1">
        <v>2018</v>
      </c>
      <c r="D2128" s="1">
        <v>2</v>
      </c>
      <c r="E2128" s="1">
        <v>3</v>
      </c>
      <c r="F2128" s="1">
        <v>2.5</v>
      </c>
      <c r="G2128" s="1">
        <v>1</v>
      </c>
      <c r="H2128" s="5">
        <v>0.43</v>
      </c>
      <c r="I2128" s="2">
        <f>1/1.42</f>
        <v>0.70422535211267612</v>
      </c>
      <c r="J2128" s="3">
        <v>5742</v>
      </c>
      <c r="K2128">
        <v>2.2835221044939713</v>
      </c>
      <c r="L2128">
        <v>3.2151991231275123</v>
      </c>
      <c r="M2128">
        <v>4.7</v>
      </c>
    </row>
    <row r="2129" spans="1:15" x14ac:dyDescent="0.25">
      <c r="A2129" s="8" t="s">
        <v>436</v>
      </c>
      <c r="B2129" s="1" t="s">
        <v>412</v>
      </c>
      <c r="C2129" s="1">
        <v>2014</v>
      </c>
      <c r="D2129" s="1">
        <v>5</v>
      </c>
      <c r="E2129" s="1">
        <v>5</v>
      </c>
      <c r="F2129" s="1">
        <v>5</v>
      </c>
      <c r="G2129" s="1">
        <v>0</v>
      </c>
      <c r="H2129" s="5">
        <v>1.1399999999999999</v>
      </c>
      <c r="I2129" s="2">
        <f>1/1.17</f>
        <v>0.85470085470085477</v>
      </c>
      <c r="J2129" s="3">
        <v>1979</v>
      </c>
      <c r="K2129">
        <v>0.6</v>
      </c>
      <c r="L2129">
        <v>45.7</v>
      </c>
      <c r="M2129">
        <v>14.5</v>
      </c>
    </row>
    <row r="2130" spans="1:15" x14ac:dyDescent="0.25">
      <c r="A2130" s="8" t="s">
        <v>436</v>
      </c>
      <c r="B2130" s="1" t="s">
        <v>412</v>
      </c>
      <c r="C2130" s="1">
        <v>2015</v>
      </c>
      <c r="D2130" s="1">
        <v>5</v>
      </c>
      <c r="E2130" s="1">
        <v>5</v>
      </c>
      <c r="F2130" s="1">
        <v>5</v>
      </c>
      <c r="G2130" s="1">
        <v>0</v>
      </c>
      <c r="H2130" s="5">
        <v>0.99</v>
      </c>
      <c r="I2130" s="2">
        <f>1/1.48</f>
        <v>0.67567567567567566</v>
      </c>
      <c r="J2130" s="3">
        <v>1929</v>
      </c>
      <c r="K2130">
        <v>0.6</v>
      </c>
      <c r="L2130">
        <v>45.7</v>
      </c>
      <c r="M2130">
        <v>14.2</v>
      </c>
    </row>
    <row r="2131" spans="1:15" x14ac:dyDescent="0.25">
      <c r="A2131" t="s">
        <v>436</v>
      </c>
      <c r="B2131" s="1" t="s">
        <v>412</v>
      </c>
      <c r="C2131" s="1">
        <v>2016</v>
      </c>
      <c r="D2131" s="1">
        <v>5</v>
      </c>
      <c r="E2131" s="1">
        <v>5</v>
      </c>
      <c r="F2131" s="1">
        <v>5</v>
      </c>
      <c r="G2131" s="1">
        <v>0</v>
      </c>
      <c r="H2131" s="5">
        <v>0.49</v>
      </c>
      <c r="I2131" s="2">
        <f>1/1.52</f>
        <v>0.65789473684210531</v>
      </c>
      <c r="J2131" s="3">
        <v>1903</v>
      </c>
      <c r="K2131">
        <v>0.6</v>
      </c>
      <c r="L2131">
        <v>45.7</v>
      </c>
      <c r="M2131">
        <v>14</v>
      </c>
      <c r="O2131" s="7"/>
    </row>
    <row r="2132" spans="1:15" x14ac:dyDescent="0.25">
      <c r="A2132" t="s">
        <v>436</v>
      </c>
      <c r="B2132" s="1" t="s">
        <v>412</v>
      </c>
      <c r="C2132" s="1">
        <v>2017</v>
      </c>
      <c r="D2132" s="1">
        <v>5</v>
      </c>
      <c r="E2132" s="1">
        <v>5</v>
      </c>
      <c r="F2132" s="1">
        <v>5</v>
      </c>
      <c r="G2132" s="1">
        <v>0</v>
      </c>
      <c r="H2132" s="5">
        <v>0.78</v>
      </c>
      <c r="I2132" s="2">
        <f>1/0.83</f>
        <v>1.2048192771084338</v>
      </c>
      <c r="J2132" s="3">
        <v>1920</v>
      </c>
      <c r="K2132">
        <v>0.6</v>
      </c>
      <c r="L2132">
        <v>45.7</v>
      </c>
      <c r="M2132">
        <v>14.1</v>
      </c>
    </row>
    <row r="2133" spans="1:15" x14ac:dyDescent="0.25">
      <c r="A2133" s="8" t="s">
        <v>436</v>
      </c>
      <c r="B2133" s="1" t="s">
        <v>412</v>
      </c>
      <c r="C2133" s="1">
        <v>2018</v>
      </c>
      <c r="D2133" s="1">
        <v>5</v>
      </c>
      <c r="E2133" s="1">
        <v>5</v>
      </c>
      <c r="F2133" s="1">
        <v>5</v>
      </c>
      <c r="G2133" s="1">
        <v>0</v>
      </c>
      <c r="H2133" s="5">
        <v>0.33</v>
      </c>
      <c r="I2133" s="2">
        <f>1/2.5</f>
        <v>0.4</v>
      </c>
      <c r="J2133" s="3">
        <v>1928</v>
      </c>
      <c r="K2133">
        <v>0.6</v>
      </c>
      <c r="L2133">
        <v>45.7</v>
      </c>
      <c r="M2133">
        <v>14.2</v>
      </c>
    </row>
    <row r="2134" spans="1:15" x14ac:dyDescent="0.25">
      <c r="A2134" s="8" t="s">
        <v>437</v>
      </c>
      <c r="B2134" s="1" t="s">
        <v>412</v>
      </c>
      <c r="C2134" s="1">
        <v>2014</v>
      </c>
      <c r="D2134" s="1">
        <v>1</v>
      </c>
      <c r="E2134" s="1">
        <v>1</v>
      </c>
      <c r="F2134" s="1">
        <v>1</v>
      </c>
      <c r="G2134" s="1">
        <v>0</v>
      </c>
      <c r="H2134" s="5">
        <v>1.26</v>
      </c>
      <c r="I2134" s="2">
        <f>1/0.91</f>
        <v>1.0989010989010988</v>
      </c>
      <c r="J2134" s="3">
        <v>10357</v>
      </c>
      <c r="K2134">
        <v>0.62655395325708607</v>
      </c>
      <c r="L2134">
        <v>12.222774738935852</v>
      </c>
      <c r="M2134">
        <v>2090</v>
      </c>
    </row>
    <row r="2135" spans="1:15" x14ac:dyDescent="0.25">
      <c r="A2135" s="8" t="s">
        <v>437</v>
      </c>
      <c r="B2135" s="1" t="s">
        <v>412</v>
      </c>
      <c r="C2135" s="1">
        <v>2015</v>
      </c>
      <c r="D2135" s="1">
        <v>1</v>
      </c>
      <c r="E2135" s="1">
        <v>1</v>
      </c>
      <c r="F2135" s="1">
        <v>1</v>
      </c>
      <c r="G2135" s="1">
        <v>0</v>
      </c>
      <c r="H2135" s="5">
        <v>1.75</v>
      </c>
      <c r="I2135" s="2">
        <f>1/0.91</f>
        <v>1.0989010989010988</v>
      </c>
      <c r="J2135" s="3">
        <v>10515</v>
      </c>
      <c r="K2135">
        <v>0.62655395325708607</v>
      </c>
      <c r="L2135">
        <v>12.222774738935852</v>
      </c>
      <c r="M2135">
        <v>2121.8000000000002</v>
      </c>
    </row>
    <row r="2136" spans="1:15" x14ac:dyDescent="0.25">
      <c r="A2136" t="s">
        <v>437</v>
      </c>
      <c r="B2136" s="1" t="s">
        <v>412</v>
      </c>
      <c r="C2136" s="1">
        <v>2016</v>
      </c>
      <c r="D2136" s="1">
        <v>1</v>
      </c>
      <c r="E2136" s="1">
        <v>1</v>
      </c>
      <c r="F2136" s="1">
        <v>1</v>
      </c>
      <c r="G2136" s="1">
        <v>0</v>
      </c>
      <c r="H2136" s="5">
        <v>0.79</v>
      </c>
      <c r="I2136" s="2">
        <f>1/0.93</f>
        <v>1.075268817204301</v>
      </c>
      <c r="J2136" s="6">
        <v>10055</v>
      </c>
      <c r="K2136" s="7">
        <v>0.62655395325708607</v>
      </c>
      <c r="L2136" s="7">
        <v>12.222774738935852</v>
      </c>
      <c r="M2136">
        <v>2145.5</v>
      </c>
      <c r="O2136" s="7"/>
    </row>
    <row r="2137" spans="1:15" x14ac:dyDescent="0.25">
      <c r="A2137" t="s">
        <v>437</v>
      </c>
      <c r="B2137" s="1" t="s">
        <v>412</v>
      </c>
      <c r="C2137" s="1">
        <v>2017</v>
      </c>
      <c r="D2137" s="1">
        <v>1</v>
      </c>
      <c r="E2137" s="1">
        <v>1</v>
      </c>
      <c r="F2137" s="1">
        <v>1</v>
      </c>
      <c r="G2137" s="1">
        <v>0</v>
      </c>
      <c r="H2137" s="5">
        <v>1.02</v>
      </c>
      <c r="I2137" s="2">
        <f>1/0.92</f>
        <v>1.0869565217391304</v>
      </c>
      <c r="J2137">
        <v>10640</v>
      </c>
      <c r="K2137">
        <v>0.62655395325708607</v>
      </c>
      <c r="L2137">
        <v>12.222774738935852</v>
      </c>
      <c r="M2137">
        <v>2147.1</v>
      </c>
    </row>
    <row r="2138" spans="1:15" x14ac:dyDescent="0.25">
      <c r="A2138" s="8" t="s">
        <v>437</v>
      </c>
      <c r="B2138" s="1" t="s">
        <v>412</v>
      </c>
      <c r="C2138" s="1">
        <v>2018</v>
      </c>
      <c r="D2138" s="1">
        <v>1</v>
      </c>
      <c r="E2138" s="1">
        <v>1</v>
      </c>
      <c r="F2138" s="1">
        <v>1</v>
      </c>
      <c r="G2138" s="1">
        <v>0</v>
      </c>
      <c r="H2138" s="5">
        <v>1.32</v>
      </c>
      <c r="I2138" s="2">
        <f>1/1.3</f>
        <v>0.76923076923076916</v>
      </c>
      <c r="J2138" s="3">
        <v>10704</v>
      </c>
      <c r="K2138">
        <v>0.62655395325708607</v>
      </c>
      <c r="L2138">
        <v>12.222774738935852</v>
      </c>
      <c r="M2138">
        <v>2160</v>
      </c>
    </row>
    <row r="2139" spans="1:15" x14ac:dyDescent="0.25">
      <c r="A2139" s="8" t="s">
        <v>438</v>
      </c>
      <c r="B2139" s="1" t="s">
        <v>412</v>
      </c>
      <c r="C2139" s="1">
        <v>2014</v>
      </c>
      <c r="D2139" s="1">
        <v>1</v>
      </c>
      <c r="E2139" s="1">
        <v>1</v>
      </c>
      <c r="F2139" s="1">
        <v>1</v>
      </c>
      <c r="G2139" s="1">
        <v>0</v>
      </c>
      <c r="H2139" s="5">
        <v>0.31</v>
      </c>
      <c r="I2139" s="2">
        <f>1/0.91</f>
        <v>1.0989010989010988</v>
      </c>
      <c r="J2139" s="3">
        <v>104906</v>
      </c>
      <c r="K2139">
        <v>1.5315108354391607</v>
      </c>
      <c r="L2139">
        <v>21.499540546749369</v>
      </c>
      <c r="M2139">
        <v>624.79999999999995</v>
      </c>
    </row>
    <row r="2140" spans="1:15" x14ac:dyDescent="0.25">
      <c r="A2140" s="8" t="s">
        <v>438</v>
      </c>
      <c r="B2140" s="1" t="s">
        <v>412</v>
      </c>
      <c r="C2140" s="1">
        <v>2015</v>
      </c>
      <c r="D2140" s="1">
        <v>1</v>
      </c>
      <c r="E2140" s="1">
        <v>1</v>
      </c>
      <c r="F2140" s="1">
        <v>1</v>
      </c>
      <c r="G2140" s="1">
        <v>0</v>
      </c>
      <c r="H2140" s="5">
        <v>0.37</v>
      </c>
      <c r="I2140" s="5">
        <v>1</v>
      </c>
      <c r="J2140" s="3">
        <v>106802</v>
      </c>
      <c r="K2140">
        <v>1.5315108354391607</v>
      </c>
      <c r="L2140">
        <v>21.499540546749369</v>
      </c>
      <c r="M2140">
        <v>636.1</v>
      </c>
    </row>
    <row r="2141" spans="1:15" x14ac:dyDescent="0.25">
      <c r="A2141" t="s">
        <v>438</v>
      </c>
      <c r="B2141" s="1" t="s">
        <v>412</v>
      </c>
      <c r="C2141" s="1">
        <v>2016</v>
      </c>
      <c r="D2141" s="1">
        <v>1</v>
      </c>
      <c r="E2141" s="1">
        <v>1</v>
      </c>
      <c r="F2141" s="1">
        <v>1</v>
      </c>
      <c r="G2141" s="1">
        <v>0</v>
      </c>
      <c r="H2141" s="5">
        <v>1.39</v>
      </c>
      <c r="I2141" s="2">
        <f>1/0.96</f>
        <v>1.0416666666666667</v>
      </c>
      <c r="J2141" s="6">
        <v>104472</v>
      </c>
      <c r="K2141" s="7">
        <v>1.5315108354391607</v>
      </c>
      <c r="L2141" s="7">
        <v>21.499540546749369</v>
      </c>
      <c r="M2141">
        <v>645</v>
      </c>
      <c r="O2141" s="7"/>
    </row>
    <row r="2142" spans="1:15" x14ac:dyDescent="0.25">
      <c r="A2142" t="s">
        <v>438</v>
      </c>
      <c r="B2142" s="1" t="s">
        <v>412</v>
      </c>
      <c r="C2142" s="1">
        <v>2017</v>
      </c>
      <c r="D2142" s="1">
        <v>1</v>
      </c>
      <c r="E2142" s="1">
        <v>1</v>
      </c>
      <c r="F2142" s="1">
        <v>1</v>
      </c>
      <c r="G2142" s="1">
        <v>0</v>
      </c>
      <c r="H2142" s="5">
        <v>1.44</v>
      </c>
      <c r="I2142" s="2">
        <f>1/0.93</f>
        <v>1.075268817204301</v>
      </c>
      <c r="J2142">
        <v>110110</v>
      </c>
      <c r="K2142">
        <v>1.5315108354391607</v>
      </c>
      <c r="L2142">
        <v>21.499540546749369</v>
      </c>
      <c r="M2142">
        <v>655.8</v>
      </c>
    </row>
    <row r="2143" spans="1:15" x14ac:dyDescent="0.25">
      <c r="A2143" s="8" t="s">
        <v>438</v>
      </c>
      <c r="B2143" s="1" t="s">
        <v>412</v>
      </c>
      <c r="C2143" s="1">
        <v>2018</v>
      </c>
      <c r="D2143" s="1">
        <v>1</v>
      </c>
      <c r="E2143" s="1">
        <v>1</v>
      </c>
      <c r="F2143" s="1">
        <v>1</v>
      </c>
      <c r="G2143" s="1">
        <v>0</v>
      </c>
      <c r="H2143" s="5">
        <v>0.73</v>
      </c>
      <c r="I2143" s="5">
        <v>1</v>
      </c>
      <c r="J2143" s="3">
        <v>112165</v>
      </c>
      <c r="K2143">
        <v>1.5315108354391607</v>
      </c>
      <c r="L2143">
        <v>21.499540546749369</v>
      </c>
      <c r="M2143">
        <v>668.1</v>
      </c>
    </row>
    <row r="2144" spans="1:15" x14ac:dyDescent="0.25">
      <c r="A2144" s="8" t="s">
        <v>439</v>
      </c>
      <c r="B2144" s="1" t="s">
        <v>412</v>
      </c>
      <c r="C2144" s="1">
        <v>2014</v>
      </c>
      <c r="D2144" s="1">
        <v>5</v>
      </c>
      <c r="E2144" s="1">
        <v>5</v>
      </c>
      <c r="F2144" s="1">
        <v>5</v>
      </c>
      <c r="G2144" s="1">
        <v>0</v>
      </c>
      <c r="H2144" s="5">
        <v>1.1299999999999999</v>
      </c>
      <c r="I2144" s="2">
        <f>1/1.56</f>
        <v>0.64102564102564097</v>
      </c>
      <c r="J2144" s="3">
        <v>556</v>
      </c>
      <c r="K2144">
        <v>1.1000000000000001</v>
      </c>
      <c r="L2144">
        <v>68.8</v>
      </c>
      <c r="M2144">
        <v>40.5</v>
      </c>
    </row>
    <row r="2145" spans="1:15" x14ac:dyDescent="0.25">
      <c r="A2145" s="8" t="s">
        <v>439</v>
      </c>
      <c r="B2145" s="1" t="s">
        <v>412</v>
      </c>
      <c r="C2145" s="1">
        <v>2015</v>
      </c>
      <c r="D2145" s="1">
        <v>5</v>
      </c>
      <c r="E2145" s="1">
        <v>5</v>
      </c>
      <c r="F2145" s="1">
        <v>5</v>
      </c>
      <c r="G2145" s="1">
        <v>0</v>
      </c>
      <c r="H2145" s="5">
        <v>0.45</v>
      </c>
      <c r="I2145" s="2">
        <f>1/0.81</f>
        <v>1.2345679012345678</v>
      </c>
      <c r="J2145" s="3">
        <v>555</v>
      </c>
      <c r="K2145">
        <v>1.1000000000000001</v>
      </c>
      <c r="L2145">
        <v>68.8</v>
      </c>
      <c r="M2145">
        <v>40.5</v>
      </c>
    </row>
    <row r="2146" spans="1:15" x14ac:dyDescent="0.25">
      <c r="A2146" t="s">
        <v>439</v>
      </c>
      <c r="B2146" s="1" t="s">
        <v>412</v>
      </c>
      <c r="C2146" s="1">
        <v>2016</v>
      </c>
      <c r="D2146" s="1">
        <v>5</v>
      </c>
      <c r="E2146" s="1">
        <v>5</v>
      </c>
      <c r="F2146" s="1">
        <v>5</v>
      </c>
      <c r="G2146" s="1">
        <v>0</v>
      </c>
      <c r="H2146" s="5">
        <v>1.0900000000000001</v>
      </c>
      <c r="I2146" s="2">
        <f>1/0.92</f>
        <v>1.0869565217391304</v>
      </c>
      <c r="J2146" s="3">
        <v>546</v>
      </c>
      <c r="K2146">
        <v>1.1000000000000001</v>
      </c>
      <c r="L2146">
        <v>68.8</v>
      </c>
      <c r="M2146">
        <v>39.799999999999997</v>
      </c>
      <c r="O2146" s="7"/>
    </row>
    <row r="2147" spans="1:15" x14ac:dyDescent="0.25">
      <c r="A2147" t="s">
        <v>439</v>
      </c>
      <c r="B2147" s="1" t="s">
        <v>412</v>
      </c>
      <c r="C2147" s="1">
        <v>2017</v>
      </c>
      <c r="D2147" s="1">
        <v>5</v>
      </c>
      <c r="E2147" s="1">
        <v>5</v>
      </c>
      <c r="F2147" s="1">
        <v>5</v>
      </c>
      <c r="G2147" s="1">
        <v>0</v>
      </c>
      <c r="H2147" s="5">
        <v>0.74</v>
      </c>
      <c r="I2147" s="2">
        <f>1/0.87</f>
        <v>1.1494252873563218</v>
      </c>
      <c r="J2147" s="3">
        <v>548</v>
      </c>
      <c r="K2147">
        <v>1.1000000000000001</v>
      </c>
      <c r="L2147">
        <v>68.8</v>
      </c>
      <c r="M2147">
        <v>40</v>
      </c>
    </row>
    <row r="2148" spans="1:15" x14ac:dyDescent="0.25">
      <c r="A2148" s="8" t="s">
        <v>439</v>
      </c>
      <c r="B2148" s="1" t="s">
        <v>412</v>
      </c>
      <c r="C2148" s="1">
        <v>2018</v>
      </c>
      <c r="D2148" s="1">
        <v>5</v>
      </c>
      <c r="E2148" s="1">
        <v>5</v>
      </c>
      <c r="F2148" s="1">
        <v>5</v>
      </c>
      <c r="G2148" s="1">
        <v>0</v>
      </c>
      <c r="H2148" s="5">
        <v>0.52</v>
      </c>
      <c r="I2148" s="2">
        <f>1/1.42</f>
        <v>0.70422535211267612</v>
      </c>
      <c r="J2148" s="13">
        <v>538</v>
      </c>
      <c r="K2148">
        <v>1.1000000000000001</v>
      </c>
      <c r="L2148">
        <v>68.8</v>
      </c>
      <c r="M2148">
        <v>39.200000000000003</v>
      </c>
    </row>
    <row r="2149" spans="1:15" x14ac:dyDescent="0.25">
      <c r="A2149" s="8" t="s">
        <v>440</v>
      </c>
      <c r="B2149" s="1" t="s">
        <v>412</v>
      </c>
      <c r="C2149" s="1">
        <v>2014</v>
      </c>
      <c r="D2149" s="1">
        <v>2</v>
      </c>
      <c r="E2149" s="1">
        <v>2</v>
      </c>
      <c r="F2149" s="1">
        <v>2</v>
      </c>
      <c r="G2149" s="1">
        <v>0</v>
      </c>
      <c r="H2149" s="5">
        <v>1.29</v>
      </c>
      <c r="I2149" s="2">
        <f>1/1.11</f>
        <v>0.9009009009009008</v>
      </c>
      <c r="J2149" s="3">
        <v>9369</v>
      </c>
      <c r="K2149">
        <v>3.9895430779722663</v>
      </c>
      <c r="L2149">
        <v>3.0916117299386223</v>
      </c>
      <c r="M2149">
        <v>5.5</v>
      </c>
    </row>
    <row r="2150" spans="1:15" x14ac:dyDescent="0.25">
      <c r="A2150" s="8" t="s">
        <v>440</v>
      </c>
      <c r="B2150" s="1" t="s">
        <v>412</v>
      </c>
      <c r="C2150" s="1">
        <v>2015</v>
      </c>
      <c r="D2150" s="1">
        <v>2</v>
      </c>
      <c r="E2150" s="1">
        <v>2</v>
      </c>
      <c r="F2150" s="1">
        <v>2</v>
      </c>
      <c r="G2150" s="1">
        <v>0</v>
      </c>
      <c r="H2150" s="5">
        <v>3.83</v>
      </c>
      <c r="I2150" s="2">
        <f>1/1.027</f>
        <v>0.97370983446932824</v>
      </c>
      <c r="J2150" s="3">
        <v>9132</v>
      </c>
      <c r="K2150">
        <v>3.9895430779722663</v>
      </c>
      <c r="L2150">
        <v>3.0916117299386223</v>
      </c>
      <c r="M2150">
        <v>5.3</v>
      </c>
    </row>
    <row r="2151" spans="1:15" x14ac:dyDescent="0.25">
      <c r="A2151" t="s">
        <v>440</v>
      </c>
      <c r="B2151" s="1" t="s">
        <v>412</v>
      </c>
      <c r="C2151" s="1">
        <v>2016</v>
      </c>
      <c r="D2151" s="1">
        <v>2</v>
      </c>
      <c r="E2151" s="1">
        <v>2</v>
      </c>
      <c r="F2151" s="1">
        <v>2</v>
      </c>
      <c r="G2151" s="1">
        <v>0</v>
      </c>
      <c r="H2151" s="5">
        <v>2.3199999999999998</v>
      </c>
      <c r="I2151" s="2">
        <f>1/1.52</f>
        <v>0.65789473684210531</v>
      </c>
      <c r="J2151" s="6">
        <v>8798</v>
      </c>
      <c r="K2151" s="7">
        <v>3.9895430779722663</v>
      </c>
      <c r="L2151" s="7">
        <v>3.0916117299386223</v>
      </c>
      <c r="M2151">
        <v>5.2</v>
      </c>
      <c r="O2151" s="7"/>
    </row>
    <row r="2152" spans="1:15" x14ac:dyDescent="0.25">
      <c r="A2152" t="s">
        <v>440</v>
      </c>
      <c r="B2152" s="1" t="s">
        <v>412</v>
      </c>
      <c r="C2152" s="1">
        <v>2017</v>
      </c>
      <c r="D2152" s="1">
        <v>2</v>
      </c>
      <c r="E2152" s="1">
        <v>2</v>
      </c>
      <c r="F2152" s="1">
        <v>2</v>
      </c>
      <c r="G2152" s="1">
        <v>0</v>
      </c>
      <c r="H2152" s="5">
        <v>1.39</v>
      </c>
      <c r="I2152" s="2">
        <f>1/1.19</f>
        <v>0.84033613445378152</v>
      </c>
      <c r="J2152">
        <v>8794</v>
      </c>
      <c r="K2152">
        <v>3.9895430779722663</v>
      </c>
      <c r="L2152">
        <v>3.0916117299386223</v>
      </c>
      <c r="M2152">
        <v>5.0999999999999996</v>
      </c>
    </row>
    <row r="2153" spans="1:15" x14ac:dyDescent="0.25">
      <c r="A2153" s="8" t="s">
        <v>440</v>
      </c>
      <c r="B2153" s="1" t="s">
        <v>412</v>
      </c>
      <c r="C2153" s="1">
        <v>2018</v>
      </c>
      <c r="D2153" s="1">
        <v>2</v>
      </c>
      <c r="E2153" s="1">
        <v>2</v>
      </c>
      <c r="F2153" s="1">
        <v>2</v>
      </c>
      <c r="G2153" s="1">
        <v>0</v>
      </c>
      <c r="H2153" s="5">
        <v>0.01</v>
      </c>
      <c r="I2153" s="2">
        <f>1/1.16</f>
        <v>0.86206896551724144</v>
      </c>
      <c r="J2153" s="3">
        <v>8754</v>
      </c>
      <c r="K2153">
        <v>3.9895430779722663</v>
      </c>
      <c r="L2153">
        <v>3.0916117299386223</v>
      </c>
      <c r="M2153">
        <v>5.0999999999999996</v>
      </c>
    </row>
    <row r="2154" spans="1:15" x14ac:dyDescent="0.25">
      <c r="A2154" s="8" t="s">
        <v>441</v>
      </c>
      <c r="B2154" s="1" t="s">
        <v>412</v>
      </c>
      <c r="C2154" s="1">
        <v>2014</v>
      </c>
      <c r="D2154" s="9">
        <v>3</v>
      </c>
      <c r="E2154" s="9">
        <v>5</v>
      </c>
      <c r="F2154" s="9">
        <v>4</v>
      </c>
      <c r="G2154" s="1">
        <v>2</v>
      </c>
      <c r="H2154" s="5">
        <v>0.62</v>
      </c>
      <c r="I2154" s="2">
        <f>1/1.21</f>
        <v>0.82644628099173556</v>
      </c>
      <c r="J2154" s="3">
        <v>4046</v>
      </c>
      <c r="K2154">
        <v>11.154165513423747</v>
      </c>
      <c r="L2154">
        <v>6.1444782729034042</v>
      </c>
      <c r="M2154">
        <v>0.1</v>
      </c>
    </row>
    <row r="2155" spans="1:15" x14ac:dyDescent="0.25">
      <c r="A2155" s="8" t="s">
        <v>441</v>
      </c>
      <c r="B2155" s="1" t="s">
        <v>412</v>
      </c>
      <c r="C2155" s="1">
        <v>2015</v>
      </c>
      <c r="D2155" s="9">
        <v>3</v>
      </c>
      <c r="E2155" s="9">
        <v>5</v>
      </c>
      <c r="F2155" s="9">
        <v>4</v>
      </c>
      <c r="G2155" s="1">
        <v>2</v>
      </c>
      <c r="H2155" s="5">
        <v>0.54</v>
      </c>
      <c r="I2155" s="2">
        <f>1/1.52</f>
        <v>0.65789473684210531</v>
      </c>
      <c r="J2155" s="3">
        <v>3904</v>
      </c>
      <c r="K2155">
        <v>11.154165513423747</v>
      </c>
      <c r="L2155">
        <v>6.1444782729034042</v>
      </c>
      <c r="M2155">
        <v>0.1</v>
      </c>
    </row>
    <row r="2156" spans="1:15" x14ac:dyDescent="0.25">
      <c r="A2156" s="10" t="s">
        <v>441</v>
      </c>
      <c r="B2156" s="9" t="s">
        <v>412</v>
      </c>
      <c r="C2156" s="1">
        <v>2016</v>
      </c>
      <c r="D2156" s="9">
        <v>3</v>
      </c>
      <c r="E2156" s="9">
        <v>5</v>
      </c>
      <c r="F2156" s="9">
        <v>4</v>
      </c>
      <c r="G2156" s="1">
        <v>2</v>
      </c>
      <c r="H2156" s="5">
        <v>0.34</v>
      </c>
      <c r="I2156" s="2">
        <f>1/1.88</f>
        <v>0.53191489361702127</v>
      </c>
      <c r="J2156" s="6">
        <v>3613</v>
      </c>
      <c r="K2156" s="7">
        <v>11.154165513423747</v>
      </c>
      <c r="L2156" s="7">
        <v>6.1444782729034042</v>
      </c>
      <c r="M2156">
        <v>0.1</v>
      </c>
      <c r="O2156" s="7"/>
    </row>
    <row r="2157" spans="1:15" x14ac:dyDescent="0.25">
      <c r="A2157" s="10" t="s">
        <v>441</v>
      </c>
      <c r="B2157" s="9" t="s">
        <v>412</v>
      </c>
      <c r="C2157" s="1">
        <v>2017</v>
      </c>
      <c r="D2157" s="9">
        <v>3</v>
      </c>
      <c r="E2157" s="9">
        <v>5</v>
      </c>
      <c r="F2157" s="9">
        <v>4</v>
      </c>
      <c r="G2157" s="1">
        <v>2</v>
      </c>
      <c r="H2157" s="5">
        <v>0.39</v>
      </c>
      <c r="I2157" s="2">
        <f>1/1.35</f>
        <v>0.7407407407407407</v>
      </c>
      <c r="J2157">
        <v>3636</v>
      </c>
      <c r="K2157">
        <v>11.154165513423747</v>
      </c>
      <c r="L2157">
        <v>6.1444782729034042</v>
      </c>
      <c r="M2157">
        <v>0.1</v>
      </c>
    </row>
    <row r="2158" spans="1:15" x14ac:dyDescent="0.25">
      <c r="A2158" s="8" t="s">
        <v>441</v>
      </c>
      <c r="B2158" s="1" t="s">
        <v>412</v>
      </c>
      <c r="C2158" s="1">
        <v>2018</v>
      </c>
      <c r="D2158" s="9">
        <v>3</v>
      </c>
      <c r="E2158" s="9">
        <v>5</v>
      </c>
      <c r="F2158" s="9">
        <v>4</v>
      </c>
      <c r="G2158" s="1">
        <v>2</v>
      </c>
      <c r="H2158" s="5">
        <v>0.27</v>
      </c>
      <c r="I2158" s="2">
        <f>1/1.4</f>
        <v>0.7142857142857143</v>
      </c>
      <c r="J2158" s="3">
        <v>3506</v>
      </c>
      <c r="K2158">
        <v>11.154165513423747</v>
      </c>
      <c r="L2158">
        <v>6.1444782729034042</v>
      </c>
      <c r="M2158">
        <v>0.1</v>
      </c>
    </row>
    <row r="2159" spans="1:15" x14ac:dyDescent="0.25">
      <c r="A2159" s="8" t="s">
        <v>442</v>
      </c>
      <c r="B2159" s="1" t="s">
        <v>412</v>
      </c>
      <c r="C2159" s="1">
        <v>2014</v>
      </c>
      <c r="D2159" s="1">
        <v>4</v>
      </c>
      <c r="E2159" s="1">
        <v>4</v>
      </c>
      <c r="F2159" s="1">
        <v>4</v>
      </c>
      <c r="G2159" s="1">
        <v>0</v>
      </c>
      <c r="H2159" s="5">
        <v>0.85</v>
      </c>
      <c r="I2159" s="2">
        <f>1/1.66</f>
        <v>0.60240963855421692</v>
      </c>
      <c r="J2159" s="3">
        <v>1086</v>
      </c>
      <c r="K2159">
        <v>3.1791907514450863</v>
      </c>
      <c r="L2159">
        <v>1.3487475915221581</v>
      </c>
      <c r="M2159">
        <v>0.3</v>
      </c>
    </row>
    <row r="2160" spans="1:15" x14ac:dyDescent="0.25">
      <c r="A2160" s="8" t="s">
        <v>442</v>
      </c>
      <c r="B2160" s="1" t="s">
        <v>412</v>
      </c>
      <c r="C2160" s="1">
        <v>2015</v>
      </c>
      <c r="D2160" s="1">
        <v>4</v>
      </c>
      <c r="E2160" s="1">
        <v>4</v>
      </c>
      <c r="F2160" s="1">
        <v>4</v>
      </c>
      <c r="G2160" s="1">
        <v>0</v>
      </c>
      <c r="H2160" s="5">
        <v>0.39</v>
      </c>
      <c r="I2160" s="2">
        <f>1/1.18</f>
        <v>0.84745762711864414</v>
      </c>
      <c r="J2160" s="3">
        <v>1077</v>
      </c>
      <c r="K2160">
        <v>3.1791907514450863</v>
      </c>
      <c r="L2160">
        <v>1.3487475915221581</v>
      </c>
      <c r="M2160">
        <v>0.3</v>
      </c>
    </row>
    <row r="2161" spans="1:15" x14ac:dyDescent="0.25">
      <c r="A2161" t="s">
        <v>442</v>
      </c>
      <c r="B2161" s="1" t="s">
        <v>412</v>
      </c>
      <c r="C2161" s="1">
        <v>2016</v>
      </c>
      <c r="D2161" s="1">
        <v>4</v>
      </c>
      <c r="E2161" s="1">
        <v>4</v>
      </c>
      <c r="F2161" s="1">
        <v>4</v>
      </c>
      <c r="G2161" s="1">
        <v>0</v>
      </c>
      <c r="H2161" s="5">
        <v>0.17</v>
      </c>
      <c r="I2161" s="2">
        <f>1/2.48</f>
        <v>0.40322580645161293</v>
      </c>
      <c r="J2161" s="6">
        <v>1038</v>
      </c>
      <c r="K2161" s="7">
        <v>3.1791907514450863</v>
      </c>
      <c r="L2161" s="7">
        <v>1.3487475915221581</v>
      </c>
      <c r="M2161">
        <v>0.3</v>
      </c>
      <c r="O2161" s="7"/>
    </row>
    <row r="2162" spans="1:15" x14ac:dyDescent="0.25">
      <c r="A2162" t="s">
        <v>442</v>
      </c>
      <c r="B2162" s="1" t="s">
        <v>412</v>
      </c>
      <c r="C2162" s="1">
        <v>2017</v>
      </c>
      <c r="D2162" s="1">
        <v>4</v>
      </c>
      <c r="E2162" s="1">
        <v>4</v>
      </c>
      <c r="F2162" s="1">
        <v>4</v>
      </c>
      <c r="G2162" s="1">
        <v>0</v>
      </c>
      <c r="H2162" s="5">
        <v>0.45</v>
      </c>
      <c r="I2162" s="2">
        <f>1/1.87</f>
        <v>0.53475935828876997</v>
      </c>
      <c r="J2162">
        <v>1035</v>
      </c>
      <c r="K2162">
        <v>3.1791907514450863</v>
      </c>
      <c r="L2162">
        <v>1.3487475915221581</v>
      </c>
      <c r="M2162">
        <v>0.2</v>
      </c>
    </row>
    <row r="2163" spans="1:15" x14ac:dyDescent="0.25">
      <c r="A2163" s="8" t="s">
        <v>442</v>
      </c>
      <c r="B2163" s="1" t="s">
        <v>412</v>
      </c>
      <c r="C2163" s="1">
        <v>2018</v>
      </c>
      <c r="D2163" s="1">
        <v>4</v>
      </c>
      <c r="E2163" s="1">
        <v>4</v>
      </c>
      <c r="F2163" s="1">
        <v>4</v>
      </c>
      <c r="G2163" s="1">
        <v>0</v>
      </c>
      <c r="H2163" s="5">
        <v>0.27</v>
      </c>
      <c r="I2163" s="2">
        <f>1/2.02</f>
        <v>0.49504950495049505</v>
      </c>
      <c r="J2163" s="3">
        <v>1004</v>
      </c>
      <c r="K2163">
        <v>3.1791907514450863</v>
      </c>
      <c r="L2163">
        <v>1.3487475915221581</v>
      </c>
      <c r="M2163">
        <v>0.2</v>
      </c>
    </row>
    <row r="2164" spans="1:15" x14ac:dyDescent="0.25">
      <c r="A2164" s="8" t="s">
        <v>443</v>
      </c>
      <c r="B2164" s="1" t="s">
        <v>412</v>
      </c>
      <c r="C2164" s="1">
        <v>2014</v>
      </c>
      <c r="D2164" s="1">
        <v>4</v>
      </c>
      <c r="E2164" s="1">
        <v>4</v>
      </c>
      <c r="F2164" s="1">
        <v>4</v>
      </c>
      <c r="G2164" s="1">
        <v>0</v>
      </c>
      <c r="H2164" s="5">
        <v>1.61</v>
      </c>
      <c r="I2164" s="2">
        <f>1/1.3</f>
        <v>0.76923076923076916</v>
      </c>
      <c r="J2164" s="3">
        <v>1161</v>
      </c>
      <c r="K2164">
        <v>4.184829991281604</v>
      </c>
      <c r="L2164">
        <v>3.4001743679163035</v>
      </c>
      <c r="M2164">
        <v>0.4</v>
      </c>
    </row>
    <row r="2165" spans="1:15" x14ac:dyDescent="0.25">
      <c r="A2165" s="8" t="s">
        <v>443</v>
      </c>
      <c r="B2165" s="1" t="s">
        <v>412</v>
      </c>
      <c r="C2165" s="1">
        <v>2015</v>
      </c>
      <c r="D2165" s="1">
        <v>4</v>
      </c>
      <c r="E2165" s="1">
        <v>4</v>
      </c>
      <c r="F2165" s="1">
        <v>4</v>
      </c>
      <c r="G2165" s="1">
        <v>0</v>
      </c>
      <c r="H2165" s="5">
        <v>3.12</v>
      </c>
      <c r="I2165" s="2">
        <f>1/0.94</f>
        <v>1.0638297872340425</v>
      </c>
      <c r="J2165" s="3">
        <v>1168</v>
      </c>
      <c r="K2165">
        <v>4.184829991281604</v>
      </c>
      <c r="L2165">
        <v>3.4001743679163035</v>
      </c>
      <c r="M2165">
        <v>0.4</v>
      </c>
    </row>
    <row r="2166" spans="1:15" x14ac:dyDescent="0.25">
      <c r="A2166" t="s">
        <v>443</v>
      </c>
      <c r="B2166" s="1" t="s">
        <v>412</v>
      </c>
      <c r="C2166" s="1">
        <v>2016</v>
      </c>
      <c r="D2166" s="1">
        <v>4</v>
      </c>
      <c r="E2166" s="1">
        <v>4</v>
      </c>
      <c r="F2166" s="1">
        <v>4</v>
      </c>
      <c r="G2166" s="1">
        <v>0</v>
      </c>
      <c r="H2166" s="5">
        <v>1.27</v>
      </c>
      <c r="I2166" s="2">
        <f>1/2.05</f>
        <v>0.48780487804878053</v>
      </c>
      <c r="J2166" s="6">
        <v>1147</v>
      </c>
      <c r="K2166" s="7">
        <v>4.184829991281604</v>
      </c>
      <c r="L2166" s="7">
        <v>3.4001743679163035</v>
      </c>
      <c r="M2166">
        <v>0.4</v>
      </c>
      <c r="O2166" s="7"/>
    </row>
    <row r="2167" spans="1:15" x14ac:dyDescent="0.25">
      <c r="A2167" t="s">
        <v>443</v>
      </c>
      <c r="B2167" s="1" t="s">
        <v>412</v>
      </c>
      <c r="C2167" s="1">
        <v>2017</v>
      </c>
      <c r="D2167" s="1">
        <v>4</v>
      </c>
      <c r="E2167" s="1">
        <v>4</v>
      </c>
      <c r="F2167" s="1">
        <v>4</v>
      </c>
      <c r="G2167" s="1">
        <v>0</v>
      </c>
      <c r="H2167" s="5">
        <v>0.67</v>
      </c>
      <c r="I2167" s="2">
        <f>1/1.32</f>
        <v>0.75757575757575757</v>
      </c>
      <c r="J2167">
        <v>1176</v>
      </c>
      <c r="K2167">
        <v>4.184829991281604</v>
      </c>
      <c r="L2167">
        <v>3.4001743679163035</v>
      </c>
      <c r="M2167">
        <v>0.4</v>
      </c>
    </row>
    <row r="2168" spans="1:15" x14ac:dyDescent="0.25">
      <c r="A2168" s="8" t="s">
        <v>443</v>
      </c>
      <c r="B2168" s="1" t="s">
        <v>412</v>
      </c>
      <c r="C2168" s="1">
        <v>2018</v>
      </c>
      <c r="D2168" s="1">
        <v>4</v>
      </c>
      <c r="E2168" s="1">
        <v>4</v>
      </c>
      <c r="F2168" s="1">
        <v>4</v>
      </c>
      <c r="G2168" s="1">
        <v>0</v>
      </c>
      <c r="H2168" s="5">
        <v>0.5</v>
      </c>
      <c r="I2168" s="2">
        <f>1/1.54</f>
        <v>0.64935064935064934</v>
      </c>
      <c r="J2168" s="3">
        <v>1146</v>
      </c>
      <c r="K2168">
        <v>4.184829991281604</v>
      </c>
      <c r="L2168">
        <v>3.4001743679163035</v>
      </c>
      <c r="M2168">
        <v>0.4</v>
      </c>
    </row>
    <row r="2169" spans="1:15" x14ac:dyDescent="0.25">
      <c r="A2169" s="8" t="s">
        <v>444</v>
      </c>
      <c r="B2169" s="1" t="s">
        <v>412</v>
      </c>
      <c r="C2169" s="1">
        <v>2014</v>
      </c>
      <c r="D2169" s="1">
        <v>1</v>
      </c>
      <c r="E2169" s="1">
        <v>1</v>
      </c>
      <c r="F2169" s="1">
        <v>1</v>
      </c>
      <c r="G2169" s="1">
        <v>0</v>
      </c>
      <c r="H2169" s="5">
        <v>1.05</v>
      </c>
      <c r="I2169" s="5">
        <v>1</v>
      </c>
      <c r="J2169" s="3">
        <v>8370</v>
      </c>
      <c r="K2169">
        <v>0.38188043191993676</v>
      </c>
      <c r="L2169">
        <v>7.0450355543850405</v>
      </c>
      <c r="M2169">
        <v>2170.4</v>
      </c>
    </row>
    <row r="2170" spans="1:15" x14ac:dyDescent="0.25">
      <c r="A2170" s="8" t="s">
        <v>444</v>
      </c>
      <c r="B2170" s="1" t="s">
        <v>412</v>
      </c>
      <c r="C2170" s="1">
        <v>2015</v>
      </c>
      <c r="D2170" s="1">
        <v>1</v>
      </c>
      <c r="E2170" s="1">
        <v>1</v>
      </c>
      <c r="F2170" s="1">
        <v>1</v>
      </c>
      <c r="G2170" s="1">
        <v>0</v>
      </c>
      <c r="H2170" s="5">
        <v>0.82</v>
      </c>
      <c r="I2170" s="2">
        <f>1/0.6</f>
        <v>1.6666666666666667</v>
      </c>
      <c r="J2170" s="3">
        <v>8267</v>
      </c>
      <c r="K2170">
        <v>0.38188043191993676</v>
      </c>
      <c r="L2170">
        <v>7.0450355543850405</v>
      </c>
      <c r="M2170">
        <v>2143.6999999999998</v>
      </c>
    </row>
    <row r="2171" spans="1:15" x14ac:dyDescent="0.25">
      <c r="A2171" t="s">
        <v>444</v>
      </c>
      <c r="B2171" s="1" t="s">
        <v>412</v>
      </c>
      <c r="C2171" s="1">
        <v>2016</v>
      </c>
      <c r="D2171" s="1">
        <v>1</v>
      </c>
      <c r="E2171" s="1">
        <v>1</v>
      </c>
      <c r="F2171" s="1">
        <v>1</v>
      </c>
      <c r="G2171" s="1">
        <v>0</v>
      </c>
      <c r="H2171" s="5">
        <v>0.54</v>
      </c>
      <c r="I2171" s="2">
        <f>1/0.99</f>
        <v>1.0101010101010102</v>
      </c>
      <c r="J2171" s="6">
        <v>7594</v>
      </c>
      <c r="K2171" s="7">
        <v>0.38188043191993676</v>
      </c>
      <c r="L2171" s="7">
        <v>7.0450355543850405</v>
      </c>
      <c r="M2171">
        <v>2102.6999999999998</v>
      </c>
      <c r="O2171" s="7"/>
    </row>
    <row r="2172" spans="1:15" x14ac:dyDescent="0.25">
      <c r="A2172" t="s">
        <v>444</v>
      </c>
      <c r="B2172" s="1" t="s">
        <v>412</v>
      </c>
      <c r="C2172" s="1">
        <v>2017</v>
      </c>
      <c r="D2172" s="1">
        <v>1</v>
      </c>
      <c r="E2172" s="1">
        <v>1</v>
      </c>
      <c r="F2172" s="1">
        <v>1</v>
      </c>
      <c r="G2172" s="1">
        <v>0</v>
      </c>
      <c r="H2172" s="5">
        <v>0.69</v>
      </c>
      <c r="I2172" s="2">
        <f>1/0.94</f>
        <v>1.0638297872340425</v>
      </c>
      <c r="J2172">
        <v>8142</v>
      </c>
      <c r="K2172">
        <v>0.38188043191993676</v>
      </c>
      <c r="L2172">
        <v>7.0450355543850405</v>
      </c>
      <c r="M2172">
        <v>2111.3000000000002</v>
      </c>
    </row>
    <row r="2173" spans="1:15" x14ac:dyDescent="0.25">
      <c r="A2173" s="8" t="s">
        <v>444</v>
      </c>
      <c r="B2173" s="1" t="s">
        <v>412</v>
      </c>
      <c r="C2173" s="1">
        <v>2018</v>
      </c>
      <c r="D2173" s="1">
        <v>1</v>
      </c>
      <c r="E2173" s="1">
        <v>1</v>
      </c>
      <c r="F2173" s="1">
        <v>1</v>
      </c>
      <c r="G2173" s="1">
        <v>0</v>
      </c>
      <c r="H2173" s="5">
        <v>0.54</v>
      </c>
      <c r="I2173" s="2">
        <f>1/1.03</f>
        <v>0.970873786407767</v>
      </c>
      <c r="J2173" s="3">
        <v>8188</v>
      </c>
      <c r="K2173">
        <v>0.38188043191993676</v>
      </c>
      <c r="L2173">
        <v>7.0450355543850405</v>
      </c>
      <c r="M2173">
        <v>2123.1999999999998</v>
      </c>
    </row>
    <row r="2174" spans="1:15" x14ac:dyDescent="0.25">
      <c r="A2174" s="8" t="s">
        <v>445</v>
      </c>
      <c r="B2174" s="1" t="s">
        <v>412</v>
      </c>
      <c r="C2174" s="1">
        <v>2014</v>
      </c>
      <c r="D2174" s="1">
        <v>3</v>
      </c>
      <c r="E2174" s="1">
        <v>3</v>
      </c>
      <c r="F2174" s="1">
        <v>3</v>
      </c>
      <c r="G2174" s="1">
        <v>0</v>
      </c>
      <c r="H2174" s="5">
        <v>1.5</v>
      </c>
      <c r="I2174" s="2">
        <f>1/1.25</f>
        <v>0.8</v>
      </c>
      <c r="J2174" s="3">
        <v>1131</v>
      </c>
      <c r="K2174">
        <v>2.214022140221402</v>
      </c>
      <c r="L2174">
        <v>4.5202952029520294</v>
      </c>
      <c r="M2174">
        <v>0.3</v>
      </c>
    </row>
    <row r="2175" spans="1:15" x14ac:dyDescent="0.25">
      <c r="A2175" s="8" t="s">
        <v>445</v>
      </c>
      <c r="B2175" s="1" t="s">
        <v>412</v>
      </c>
      <c r="C2175" s="1">
        <v>2015</v>
      </c>
      <c r="D2175" s="1">
        <v>3</v>
      </c>
      <c r="E2175" s="1">
        <v>3</v>
      </c>
      <c r="F2175" s="1">
        <v>3</v>
      </c>
      <c r="G2175" s="1">
        <v>0</v>
      </c>
      <c r="H2175" s="5">
        <v>1.61</v>
      </c>
      <c r="I2175" s="2">
        <f>1/0.92</f>
        <v>1.0869565217391304</v>
      </c>
      <c r="J2175" s="3">
        <v>1119</v>
      </c>
      <c r="K2175">
        <v>2.214022140221402</v>
      </c>
      <c r="L2175">
        <v>4.5202952029520294</v>
      </c>
      <c r="M2175">
        <v>0.3</v>
      </c>
    </row>
    <row r="2176" spans="1:15" x14ac:dyDescent="0.25">
      <c r="A2176" t="s">
        <v>445</v>
      </c>
      <c r="B2176" s="1" t="s">
        <v>412</v>
      </c>
      <c r="C2176" s="1">
        <v>2016</v>
      </c>
      <c r="D2176" s="1">
        <v>3</v>
      </c>
      <c r="E2176" s="1">
        <v>3</v>
      </c>
      <c r="F2176" s="1">
        <v>3</v>
      </c>
      <c r="G2176" s="1">
        <v>0</v>
      </c>
      <c r="H2176" s="5">
        <v>1.49</v>
      </c>
      <c r="I2176" s="2">
        <f>1/1.73</f>
        <v>0.5780346820809249</v>
      </c>
      <c r="J2176" s="6">
        <v>1084</v>
      </c>
      <c r="K2176" s="7">
        <v>2.214022140221402</v>
      </c>
      <c r="L2176" s="7">
        <v>4.5202952029520294</v>
      </c>
      <c r="M2176">
        <v>0.3</v>
      </c>
      <c r="O2176" s="7"/>
    </row>
    <row r="2177" spans="1:15" x14ac:dyDescent="0.25">
      <c r="A2177" t="s">
        <v>445</v>
      </c>
      <c r="B2177" s="1" t="s">
        <v>412</v>
      </c>
      <c r="C2177" s="1">
        <v>2017</v>
      </c>
      <c r="D2177" s="1">
        <v>3</v>
      </c>
      <c r="E2177" s="1">
        <v>3</v>
      </c>
      <c r="F2177" s="1">
        <v>3</v>
      </c>
      <c r="G2177" s="1">
        <v>0</v>
      </c>
      <c r="H2177" s="5">
        <v>0.41</v>
      </c>
      <c r="I2177" s="2">
        <f>1/1.14</f>
        <v>0.87719298245614041</v>
      </c>
      <c r="J2177">
        <v>1098</v>
      </c>
      <c r="K2177">
        <v>2.214022140221402</v>
      </c>
      <c r="L2177">
        <v>4.5202952029520294</v>
      </c>
      <c r="M2177">
        <v>0.3</v>
      </c>
    </row>
    <row r="2178" spans="1:15" x14ac:dyDescent="0.25">
      <c r="A2178" s="8" t="s">
        <v>445</v>
      </c>
      <c r="B2178" s="1" t="s">
        <v>412</v>
      </c>
      <c r="C2178" s="1">
        <v>2018</v>
      </c>
      <c r="D2178" s="1">
        <v>3</v>
      </c>
      <c r="E2178" s="1">
        <v>3</v>
      </c>
      <c r="F2178" s="1">
        <v>3</v>
      </c>
      <c r="G2178" s="1">
        <v>0</v>
      </c>
      <c r="H2178" s="5">
        <v>1.02</v>
      </c>
      <c r="I2178" s="2">
        <f>1/1.52</f>
        <v>0.65789473684210531</v>
      </c>
      <c r="J2178" s="3">
        <v>1077</v>
      </c>
      <c r="K2178">
        <v>2.214022140221402</v>
      </c>
      <c r="L2178">
        <v>4.5202952029520294</v>
      </c>
      <c r="M2178">
        <v>0.3</v>
      </c>
    </row>
    <row r="2179" spans="1:15" x14ac:dyDescent="0.25">
      <c r="A2179" s="8" t="s">
        <v>446</v>
      </c>
      <c r="B2179" s="1" t="s">
        <v>412</v>
      </c>
      <c r="C2179" s="1">
        <v>2014</v>
      </c>
      <c r="D2179" s="1">
        <v>3</v>
      </c>
      <c r="E2179" s="1">
        <v>3</v>
      </c>
      <c r="F2179" s="1">
        <v>3</v>
      </c>
      <c r="G2179" s="1">
        <v>0</v>
      </c>
      <c r="H2179" s="5">
        <v>1.24</v>
      </c>
      <c r="I2179" s="2">
        <f>1/1.8</f>
        <v>0.55555555555555558</v>
      </c>
      <c r="J2179" s="3">
        <v>902</v>
      </c>
      <c r="K2179">
        <v>1.6</v>
      </c>
      <c r="L2179">
        <v>1.3</v>
      </c>
      <c r="M2179">
        <v>0.8</v>
      </c>
    </row>
    <row r="2180" spans="1:15" x14ac:dyDescent="0.25">
      <c r="A2180" s="8" t="s">
        <v>446</v>
      </c>
      <c r="B2180" s="1" t="s">
        <v>412</v>
      </c>
      <c r="C2180" s="1">
        <v>2015</v>
      </c>
      <c r="D2180" s="1">
        <v>3</v>
      </c>
      <c r="E2180" s="1">
        <v>3</v>
      </c>
      <c r="F2180" s="1">
        <v>3</v>
      </c>
      <c r="G2180" s="1">
        <v>0</v>
      </c>
      <c r="H2180" s="5">
        <v>1.37</v>
      </c>
      <c r="I2180" s="2">
        <f>1/0.91</f>
        <v>1.0989010989010988</v>
      </c>
      <c r="J2180" s="3">
        <v>900</v>
      </c>
      <c r="K2180">
        <v>1.6</v>
      </c>
      <c r="L2180">
        <v>1.3</v>
      </c>
      <c r="M2180">
        <v>0.8</v>
      </c>
    </row>
    <row r="2181" spans="1:15" x14ac:dyDescent="0.25">
      <c r="A2181" t="s">
        <v>446</v>
      </c>
      <c r="B2181" s="1" t="s">
        <v>412</v>
      </c>
      <c r="C2181" s="1">
        <v>2016</v>
      </c>
      <c r="D2181" s="1">
        <v>3</v>
      </c>
      <c r="E2181" s="1">
        <v>3</v>
      </c>
      <c r="F2181" s="1">
        <v>3</v>
      </c>
      <c r="G2181" s="1">
        <v>0</v>
      </c>
      <c r="H2181" s="5">
        <v>0.91</v>
      </c>
      <c r="I2181" s="2">
        <f>1/1.95</f>
        <v>0.51282051282051289</v>
      </c>
      <c r="J2181" s="6">
        <v>864</v>
      </c>
      <c r="K2181" s="11">
        <v>1.6</v>
      </c>
      <c r="L2181" s="11">
        <v>1.3</v>
      </c>
      <c r="M2181">
        <v>0.7</v>
      </c>
      <c r="O2181" s="7"/>
    </row>
    <row r="2182" spans="1:15" x14ac:dyDescent="0.25">
      <c r="A2182" t="s">
        <v>446</v>
      </c>
      <c r="B2182" s="1" t="s">
        <v>412</v>
      </c>
      <c r="C2182" s="1">
        <v>2017</v>
      </c>
      <c r="D2182" s="1">
        <v>3</v>
      </c>
      <c r="E2182" s="1">
        <v>3</v>
      </c>
      <c r="F2182" s="1">
        <v>3</v>
      </c>
      <c r="G2182" s="1">
        <v>0</v>
      </c>
      <c r="H2182" s="5">
        <v>0.77</v>
      </c>
      <c r="I2182" s="2">
        <f>1/1.12</f>
        <v>0.89285714285714279</v>
      </c>
      <c r="J2182">
        <v>880</v>
      </c>
      <c r="K2182">
        <v>1.6</v>
      </c>
      <c r="L2182">
        <v>1.3</v>
      </c>
      <c r="M2182">
        <v>0.7</v>
      </c>
    </row>
    <row r="2183" spans="1:15" x14ac:dyDescent="0.25">
      <c r="A2183" s="8" t="s">
        <v>446</v>
      </c>
      <c r="B2183" s="1" t="s">
        <v>412</v>
      </c>
      <c r="C2183" s="1">
        <v>2018</v>
      </c>
      <c r="D2183" s="1">
        <v>3</v>
      </c>
      <c r="E2183" s="1">
        <v>3</v>
      </c>
      <c r="F2183" s="1">
        <v>3</v>
      </c>
      <c r="G2183" s="1">
        <v>0</v>
      </c>
      <c r="H2183" s="5">
        <v>0.48</v>
      </c>
      <c r="I2183" s="2">
        <f>1/1.79</f>
        <v>0.55865921787709494</v>
      </c>
      <c r="J2183" s="3">
        <v>862</v>
      </c>
      <c r="K2183">
        <v>1.6</v>
      </c>
      <c r="L2183">
        <v>1.3</v>
      </c>
      <c r="M2183">
        <v>0.7</v>
      </c>
    </row>
    <row r="2184" spans="1:15" x14ac:dyDescent="0.25">
      <c r="A2184" s="8" t="s">
        <v>447</v>
      </c>
      <c r="B2184" s="1" t="s">
        <v>412</v>
      </c>
      <c r="C2184" s="1">
        <v>2014</v>
      </c>
      <c r="D2184" s="1">
        <v>5</v>
      </c>
      <c r="E2184" s="1">
        <v>5</v>
      </c>
      <c r="F2184" s="1">
        <v>5</v>
      </c>
      <c r="G2184" s="1">
        <v>0</v>
      </c>
      <c r="H2184" s="5">
        <v>0.42</v>
      </c>
      <c r="I2184" s="2">
        <f>1/1.47</f>
        <v>0.68027210884353739</v>
      </c>
      <c r="J2184" s="3">
        <v>251</v>
      </c>
      <c r="K2184">
        <v>16</v>
      </c>
      <c r="L2184">
        <v>1.5</v>
      </c>
      <c r="M2184">
        <v>0</v>
      </c>
    </row>
    <row r="2185" spans="1:15" x14ac:dyDescent="0.25">
      <c r="A2185" s="8" t="s">
        <v>447</v>
      </c>
      <c r="B2185" s="1" t="s">
        <v>412</v>
      </c>
      <c r="C2185" s="1">
        <v>2015</v>
      </c>
      <c r="D2185" s="1">
        <v>5</v>
      </c>
      <c r="E2185" s="1">
        <v>5</v>
      </c>
      <c r="F2185" s="1">
        <v>5</v>
      </c>
      <c r="G2185" s="1">
        <v>0</v>
      </c>
      <c r="H2185" s="5">
        <v>1.42</v>
      </c>
      <c r="I2185" s="2">
        <f>1/1.05</f>
        <v>0.95238095238095233</v>
      </c>
      <c r="J2185" s="3">
        <v>226</v>
      </c>
      <c r="K2185">
        <v>16</v>
      </c>
      <c r="L2185">
        <v>1.5</v>
      </c>
      <c r="M2185">
        <v>0</v>
      </c>
    </row>
    <row r="2186" spans="1:15" x14ac:dyDescent="0.25">
      <c r="A2186" t="s">
        <v>447</v>
      </c>
      <c r="B2186" s="1" t="s">
        <v>412</v>
      </c>
      <c r="C2186" s="1">
        <v>2016</v>
      </c>
      <c r="D2186" s="1">
        <v>5</v>
      </c>
      <c r="E2186" s="1">
        <v>5</v>
      </c>
      <c r="F2186" s="1">
        <v>5</v>
      </c>
      <c r="G2186" s="1">
        <v>0</v>
      </c>
      <c r="H2186" s="5">
        <v>0.67</v>
      </c>
      <c r="I2186" s="2">
        <f>1/1.44</f>
        <v>0.69444444444444442</v>
      </c>
      <c r="J2186" s="6">
        <v>192</v>
      </c>
      <c r="K2186" s="11">
        <v>16</v>
      </c>
      <c r="L2186" s="11">
        <v>1.5</v>
      </c>
      <c r="M2186">
        <v>0</v>
      </c>
      <c r="O2186" s="7"/>
    </row>
    <row r="2187" spans="1:15" x14ac:dyDescent="0.25">
      <c r="A2187" t="s">
        <v>447</v>
      </c>
      <c r="B2187" s="1" t="s">
        <v>412</v>
      </c>
      <c r="C2187" s="1">
        <v>2017</v>
      </c>
      <c r="D2187" s="1">
        <v>5</v>
      </c>
      <c r="E2187" s="1">
        <v>5</v>
      </c>
      <c r="F2187" s="1">
        <v>5</v>
      </c>
      <c r="G2187" s="1">
        <v>0</v>
      </c>
      <c r="H2187" s="5">
        <v>0.64</v>
      </c>
      <c r="I2187" s="2">
        <f>1/0.9</f>
        <v>1.1111111111111112</v>
      </c>
      <c r="J2187">
        <v>177</v>
      </c>
      <c r="K2187">
        <v>16</v>
      </c>
      <c r="L2187">
        <v>1.5</v>
      </c>
      <c r="M2187">
        <v>0</v>
      </c>
    </row>
    <row r="2188" spans="1:15" x14ac:dyDescent="0.25">
      <c r="A2188" s="8" t="s">
        <v>447</v>
      </c>
      <c r="B2188" s="1" t="s">
        <v>412</v>
      </c>
      <c r="C2188" s="1">
        <v>2018</v>
      </c>
      <c r="D2188" s="1">
        <v>5</v>
      </c>
      <c r="E2188" s="1">
        <v>5</v>
      </c>
      <c r="F2188" s="1">
        <v>5</v>
      </c>
      <c r="G2188" s="1">
        <v>0</v>
      </c>
      <c r="H2188" s="5">
        <v>0.43</v>
      </c>
      <c r="I2188" s="2">
        <f>1/1.46</f>
        <v>0.68493150684931503</v>
      </c>
      <c r="J2188" s="3">
        <v>148</v>
      </c>
      <c r="K2188">
        <v>16</v>
      </c>
      <c r="L2188">
        <v>1.5</v>
      </c>
      <c r="M2188">
        <v>0</v>
      </c>
    </row>
    <row r="2189" spans="1:15" x14ac:dyDescent="0.25">
      <c r="A2189" s="8" t="s">
        <v>448</v>
      </c>
      <c r="B2189" s="1" t="s">
        <v>412</v>
      </c>
      <c r="C2189" s="1">
        <v>2014</v>
      </c>
      <c r="D2189" s="9">
        <v>3</v>
      </c>
      <c r="E2189" s="9">
        <v>3</v>
      </c>
      <c r="F2189" s="9">
        <v>3</v>
      </c>
      <c r="G2189" s="9">
        <v>0</v>
      </c>
      <c r="H2189" s="5">
        <v>2.89</v>
      </c>
      <c r="I2189" s="2">
        <f>1/1.76</f>
        <v>0.56818181818181823</v>
      </c>
      <c r="J2189" s="3">
        <v>1411</v>
      </c>
      <c r="K2189">
        <v>1.8543956043956045</v>
      </c>
      <c r="L2189">
        <v>8.2417582417582409</v>
      </c>
      <c r="M2189">
        <v>0.8</v>
      </c>
    </row>
    <row r="2190" spans="1:15" x14ac:dyDescent="0.25">
      <c r="A2190" s="8" t="s">
        <v>448</v>
      </c>
      <c r="B2190" s="1" t="s">
        <v>412</v>
      </c>
      <c r="C2190" s="1">
        <v>2015</v>
      </c>
      <c r="D2190" s="9">
        <v>3</v>
      </c>
      <c r="E2190" s="9">
        <v>3</v>
      </c>
      <c r="F2190" s="9">
        <v>3</v>
      </c>
      <c r="G2190" s="9">
        <v>0</v>
      </c>
      <c r="H2190" s="5">
        <v>2.0099999999999998</v>
      </c>
      <c r="I2190" s="2">
        <f>1/1.16</f>
        <v>0.86206896551724144</v>
      </c>
      <c r="J2190" s="3">
        <v>1433</v>
      </c>
      <c r="K2190">
        <v>1.8543956043956045</v>
      </c>
      <c r="L2190">
        <v>8.2417582417582409</v>
      </c>
      <c r="M2190">
        <v>0.8</v>
      </c>
    </row>
    <row r="2191" spans="1:15" x14ac:dyDescent="0.25">
      <c r="A2191" s="10" t="s">
        <v>448</v>
      </c>
      <c r="B2191" s="9" t="s">
        <v>412</v>
      </c>
      <c r="C2191" s="1">
        <v>2016</v>
      </c>
      <c r="D2191" s="9">
        <v>3</v>
      </c>
      <c r="E2191" s="9">
        <v>3</v>
      </c>
      <c r="F2191" s="9">
        <v>3</v>
      </c>
      <c r="G2191" s="9">
        <v>0</v>
      </c>
      <c r="H2191" s="5">
        <v>0.21</v>
      </c>
      <c r="I2191" s="2">
        <f>1/3.14</f>
        <v>0.31847133757961782</v>
      </c>
      <c r="J2191" s="14">
        <v>1456</v>
      </c>
      <c r="K2191" s="15">
        <v>1.8543956043956045</v>
      </c>
      <c r="L2191" s="15">
        <v>8.2417582417582409</v>
      </c>
      <c r="M2191" s="10">
        <v>0.8</v>
      </c>
      <c r="O2191" s="7"/>
    </row>
    <row r="2192" spans="1:15" x14ac:dyDescent="0.25">
      <c r="A2192" s="10" t="s">
        <v>448</v>
      </c>
      <c r="B2192" s="9" t="s">
        <v>412</v>
      </c>
      <c r="C2192" s="1">
        <v>2017</v>
      </c>
      <c r="D2192" s="9">
        <v>3</v>
      </c>
      <c r="E2192" s="9">
        <v>3</v>
      </c>
      <c r="F2192" s="9">
        <v>3</v>
      </c>
      <c r="G2192" s="9">
        <v>0</v>
      </c>
      <c r="H2192" s="5">
        <v>0.26</v>
      </c>
      <c r="I2192" s="2">
        <f>1/2.7</f>
        <v>0.37037037037037035</v>
      </c>
      <c r="J2192">
        <v>1458</v>
      </c>
      <c r="K2192">
        <v>1.8543956043956045</v>
      </c>
      <c r="L2192">
        <v>8.2417582417582409</v>
      </c>
      <c r="M2192">
        <v>0.8</v>
      </c>
    </row>
    <row r="2193" spans="1:15" x14ac:dyDescent="0.25">
      <c r="A2193" s="8" t="s">
        <v>448</v>
      </c>
      <c r="B2193" s="1" t="s">
        <v>412</v>
      </c>
      <c r="C2193" s="1">
        <v>2018</v>
      </c>
      <c r="D2193" s="9">
        <v>3</v>
      </c>
      <c r="E2193" s="9">
        <v>3</v>
      </c>
      <c r="F2193" s="9">
        <v>3</v>
      </c>
      <c r="G2193" s="9">
        <v>0</v>
      </c>
      <c r="H2193" s="5">
        <v>0.12</v>
      </c>
      <c r="I2193" s="2">
        <f>1/2.94</f>
        <v>0.3401360544217687</v>
      </c>
      <c r="J2193" s="3">
        <v>1440</v>
      </c>
      <c r="K2193">
        <v>1.8543956043956045</v>
      </c>
      <c r="L2193">
        <v>8.2417582417582409</v>
      </c>
      <c r="M2193">
        <v>0.8</v>
      </c>
    </row>
    <row r="2194" spans="1:15" x14ac:dyDescent="0.25">
      <c r="A2194" s="8" t="s">
        <v>449</v>
      </c>
      <c r="B2194" s="1" t="s">
        <v>412</v>
      </c>
      <c r="C2194" s="1">
        <v>2014</v>
      </c>
      <c r="D2194" s="1">
        <v>4</v>
      </c>
      <c r="E2194" s="1">
        <v>4</v>
      </c>
      <c r="F2194" s="1">
        <v>4</v>
      </c>
      <c r="G2194" s="1">
        <v>0</v>
      </c>
      <c r="H2194" s="5">
        <v>0.79</v>
      </c>
      <c r="I2194" s="2">
        <f>1/1.35</f>
        <v>0.7407407407407407</v>
      </c>
      <c r="J2194" s="3">
        <v>1405</v>
      </c>
      <c r="K2194">
        <v>5.5322128851540615</v>
      </c>
      <c r="L2194">
        <v>8.8935574229691881</v>
      </c>
      <c r="M2194">
        <v>0.2</v>
      </c>
    </row>
    <row r="2195" spans="1:15" x14ac:dyDescent="0.25">
      <c r="A2195" s="8" t="s">
        <v>449</v>
      </c>
      <c r="B2195" s="1" t="s">
        <v>412</v>
      </c>
      <c r="C2195" s="1">
        <v>2015</v>
      </c>
      <c r="D2195" s="1">
        <v>4</v>
      </c>
      <c r="E2195" s="1">
        <v>4</v>
      </c>
      <c r="F2195" s="1">
        <v>4</v>
      </c>
      <c r="G2195" s="1">
        <v>0</v>
      </c>
      <c r="H2195" s="5">
        <v>1.03</v>
      </c>
      <c r="I2195" s="2">
        <f>1/0.82</f>
        <v>1.2195121951219512</v>
      </c>
      <c r="J2195" s="3">
        <v>1435</v>
      </c>
      <c r="K2195">
        <v>5.5322128851540615</v>
      </c>
      <c r="L2195">
        <v>8.8935574229691881</v>
      </c>
      <c r="M2195">
        <v>0.2</v>
      </c>
    </row>
    <row r="2196" spans="1:15" x14ac:dyDescent="0.25">
      <c r="A2196" t="s">
        <v>449</v>
      </c>
      <c r="B2196" s="1" t="s">
        <v>412</v>
      </c>
      <c r="C2196" s="1">
        <v>2016</v>
      </c>
      <c r="D2196" s="1">
        <v>4</v>
      </c>
      <c r="E2196" s="1">
        <v>4</v>
      </c>
      <c r="F2196" s="1">
        <v>4</v>
      </c>
      <c r="G2196" s="1">
        <v>0</v>
      </c>
      <c r="H2196" s="5">
        <v>0.66</v>
      </c>
      <c r="I2196" s="2">
        <f>1/2.56</f>
        <v>0.390625</v>
      </c>
      <c r="J2196" s="6">
        <v>1428</v>
      </c>
      <c r="K2196" s="7">
        <v>5.5322128851540615</v>
      </c>
      <c r="L2196" s="7">
        <v>8.8935574229691881</v>
      </c>
      <c r="M2196">
        <v>0.2</v>
      </c>
      <c r="O2196" s="7"/>
    </row>
    <row r="2197" spans="1:15" x14ac:dyDescent="0.25">
      <c r="A2197" t="s">
        <v>449</v>
      </c>
      <c r="B2197" s="1" t="s">
        <v>412</v>
      </c>
      <c r="C2197" s="1">
        <v>2017</v>
      </c>
      <c r="D2197" s="1">
        <v>4</v>
      </c>
      <c r="E2197" s="1">
        <v>4</v>
      </c>
      <c r="F2197" s="1">
        <v>4</v>
      </c>
      <c r="G2197" s="1">
        <v>0</v>
      </c>
      <c r="H2197" s="5">
        <v>1.55</v>
      </c>
      <c r="I2197" s="2">
        <f>1/1.15</f>
        <v>0.86956521739130443</v>
      </c>
      <c r="J2197">
        <v>1432</v>
      </c>
      <c r="K2197">
        <v>5.5322128851540615</v>
      </c>
      <c r="L2197">
        <v>8.8935574229691881</v>
      </c>
      <c r="M2197">
        <v>0.2</v>
      </c>
    </row>
    <row r="2198" spans="1:15" x14ac:dyDescent="0.25">
      <c r="A2198" s="8" t="s">
        <v>449</v>
      </c>
      <c r="B2198" s="1" t="s">
        <v>412</v>
      </c>
      <c r="C2198" s="1">
        <v>2018</v>
      </c>
      <c r="D2198" s="1">
        <v>4</v>
      </c>
      <c r="E2198" s="1">
        <v>4</v>
      </c>
      <c r="F2198" s="1">
        <v>4</v>
      </c>
      <c r="G2198" s="1">
        <v>0</v>
      </c>
      <c r="H2198" s="5">
        <v>1.57</v>
      </c>
      <c r="I2198" s="2">
        <f>1/1.56</f>
        <v>0.64102564102564097</v>
      </c>
      <c r="J2198" s="3">
        <v>1431</v>
      </c>
      <c r="K2198">
        <v>5.5322128851540615</v>
      </c>
      <c r="L2198">
        <v>8.8935574229691881</v>
      </c>
      <c r="M2198">
        <v>0.2</v>
      </c>
    </row>
    <row r="2199" spans="1:15" x14ac:dyDescent="0.25">
      <c r="A2199" s="8" t="s">
        <v>450</v>
      </c>
      <c r="B2199" s="1" t="s">
        <v>412</v>
      </c>
      <c r="C2199" s="1">
        <v>2014</v>
      </c>
      <c r="D2199" s="1">
        <v>3</v>
      </c>
      <c r="E2199" s="1">
        <v>3</v>
      </c>
      <c r="F2199" s="1">
        <v>3</v>
      </c>
      <c r="G2199" s="1">
        <v>0</v>
      </c>
      <c r="H2199" s="5">
        <v>1.31</v>
      </c>
      <c r="I2199" s="2">
        <f>1/1.18</f>
        <v>0.84745762711864414</v>
      </c>
      <c r="J2199" s="3">
        <v>3330</v>
      </c>
      <c r="K2199">
        <v>2.4906600249066</v>
      </c>
      <c r="L2199">
        <v>3.704856787048568</v>
      </c>
      <c r="M2199">
        <v>0.5</v>
      </c>
    </row>
    <row r="2200" spans="1:15" x14ac:dyDescent="0.25">
      <c r="A2200" s="8" t="s">
        <v>450</v>
      </c>
      <c r="B2200" s="1" t="s">
        <v>412</v>
      </c>
      <c r="C2200" s="1">
        <v>2015</v>
      </c>
      <c r="D2200" s="1">
        <v>3</v>
      </c>
      <c r="E2200" s="1">
        <v>3</v>
      </c>
      <c r="F2200" s="1">
        <v>3</v>
      </c>
      <c r="G2200" s="1">
        <v>0</v>
      </c>
      <c r="H2200" s="5">
        <v>1.2</v>
      </c>
      <c r="I2200" s="2">
        <f>1/1.18</f>
        <v>0.84745762711864414</v>
      </c>
      <c r="J2200" s="3">
        <v>3298</v>
      </c>
      <c r="K2200">
        <v>2.4906600249066</v>
      </c>
      <c r="L2200">
        <v>3.704856787048568</v>
      </c>
      <c r="M2200">
        <v>0.5</v>
      </c>
    </row>
    <row r="2201" spans="1:15" x14ac:dyDescent="0.25">
      <c r="A2201" t="s">
        <v>450</v>
      </c>
      <c r="B2201" s="1" t="s">
        <v>412</v>
      </c>
      <c r="C2201" s="1">
        <v>2016</v>
      </c>
      <c r="D2201" s="1">
        <v>3</v>
      </c>
      <c r="E2201" s="1">
        <v>3</v>
      </c>
      <c r="F2201" s="1">
        <v>3</v>
      </c>
      <c r="G2201" s="1">
        <v>0</v>
      </c>
      <c r="H2201" s="5">
        <v>0.97</v>
      </c>
      <c r="I2201" s="2">
        <f>1/1.43</f>
        <v>0.69930069930069938</v>
      </c>
      <c r="J2201" s="6">
        <v>3212</v>
      </c>
      <c r="K2201" s="7">
        <v>2.4906600249066</v>
      </c>
      <c r="L2201" s="7">
        <v>3.704856787048568</v>
      </c>
      <c r="M2201">
        <v>0.5</v>
      </c>
      <c r="O2201" s="7"/>
    </row>
    <row r="2202" spans="1:15" x14ac:dyDescent="0.25">
      <c r="A2202" t="s">
        <v>450</v>
      </c>
      <c r="B2202" s="1" t="s">
        <v>412</v>
      </c>
      <c r="C2202" s="1">
        <v>2017</v>
      </c>
      <c r="D2202" s="1">
        <v>3</v>
      </c>
      <c r="E2202" s="1">
        <v>3</v>
      </c>
      <c r="F2202" s="1">
        <v>3</v>
      </c>
      <c r="G2202" s="1">
        <v>0</v>
      </c>
      <c r="H2202" s="5">
        <v>0.97</v>
      </c>
      <c r="I2202" s="2">
        <f>1/1.31</f>
        <v>0.76335877862595414</v>
      </c>
      <c r="J2202">
        <v>3294</v>
      </c>
      <c r="K2202">
        <v>2.4906600249066</v>
      </c>
      <c r="L2202">
        <v>3.704856787048568</v>
      </c>
      <c r="M2202">
        <v>0.5</v>
      </c>
    </row>
    <row r="2203" spans="1:15" x14ac:dyDescent="0.25">
      <c r="A2203" s="8" t="s">
        <v>450</v>
      </c>
      <c r="B2203" s="1" t="s">
        <v>412</v>
      </c>
      <c r="C2203" s="1">
        <v>2018</v>
      </c>
      <c r="D2203" s="1">
        <v>3</v>
      </c>
      <c r="E2203" s="1">
        <v>3</v>
      </c>
      <c r="F2203" s="1">
        <v>3</v>
      </c>
      <c r="G2203" s="1">
        <v>0</v>
      </c>
      <c r="H2203" s="5">
        <v>0.84</v>
      </c>
      <c r="I2203" s="2">
        <f>1/2.15</f>
        <v>0.46511627906976744</v>
      </c>
      <c r="J2203" s="3">
        <v>3259</v>
      </c>
      <c r="K2203">
        <v>2.4906600249066</v>
      </c>
      <c r="L2203">
        <v>3.704856787048568</v>
      </c>
      <c r="M2203">
        <v>0.5</v>
      </c>
    </row>
    <row r="2204" spans="1:15" x14ac:dyDescent="0.25">
      <c r="A2204" s="8" t="s">
        <v>451</v>
      </c>
      <c r="B2204" s="1" t="s">
        <v>412</v>
      </c>
      <c r="C2204" s="1">
        <v>2014</v>
      </c>
      <c r="D2204" s="1">
        <v>2</v>
      </c>
      <c r="E2204" s="1">
        <v>2</v>
      </c>
      <c r="F2204" s="1">
        <v>2</v>
      </c>
      <c r="G2204" s="1">
        <v>0</v>
      </c>
      <c r="H2204" s="5">
        <v>1.68</v>
      </c>
      <c r="I2204" s="2">
        <f>1/0.99</f>
        <v>1.0101010101010102</v>
      </c>
      <c r="J2204" s="3">
        <v>14036</v>
      </c>
      <c r="K2204">
        <v>1.8177929854576562</v>
      </c>
      <c r="L2204">
        <v>5.2323923581408609</v>
      </c>
      <c r="M2204">
        <v>26.7</v>
      </c>
    </row>
    <row r="2205" spans="1:15" x14ac:dyDescent="0.25">
      <c r="A2205" s="8" t="s">
        <v>451</v>
      </c>
      <c r="B2205" s="1" t="s">
        <v>412</v>
      </c>
      <c r="C2205" s="1">
        <v>2015</v>
      </c>
      <c r="D2205" s="1">
        <v>2</v>
      </c>
      <c r="E2205" s="1">
        <v>2</v>
      </c>
      <c r="F2205" s="1">
        <v>2</v>
      </c>
      <c r="G2205" s="1">
        <v>0</v>
      </c>
      <c r="H2205" s="5">
        <v>0.93</v>
      </c>
      <c r="I2205" s="2">
        <f>1/0.97</f>
        <v>1.0309278350515465</v>
      </c>
      <c r="J2205" s="3">
        <v>14190</v>
      </c>
      <c r="K2205">
        <v>1.8177929854576562</v>
      </c>
      <c r="L2205">
        <v>5.2323923581408609</v>
      </c>
      <c r="M2205">
        <v>27</v>
      </c>
    </row>
    <row r="2206" spans="1:15" x14ac:dyDescent="0.25">
      <c r="A2206" t="s">
        <v>451</v>
      </c>
      <c r="B2206" s="1" t="s">
        <v>412</v>
      </c>
      <c r="C2206" s="1">
        <v>2016</v>
      </c>
      <c r="D2206" s="1">
        <v>2</v>
      </c>
      <c r="E2206" s="1">
        <v>2</v>
      </c>
      <c r="F2206" s="1">
        <v>2</v>
      </c>
      <c r="G2206" s="1">
        <v>0</v>
      </c>
      <c r="H2206" s="5">
        <v>1.08</v>
      </c>
      <c r="I2206" s="2">
        <f>1/0.82</f>
        <v>1.2195121951219512</v>
      </c>
      <c r="J2206" s="6">
        <v>14028</v>
      </c>
      <c r="K2206" s="7">
        <v>1.8177929854576562</v>
      </c>
      <c r="L2206" s="7">
        <v>5.2323923581408609</v>
      </c>
      <c r="M2206">
        <v>27.1</v>
      </c>
      <c r="O2206" s="7"/>
    </row>
    <row r="2207" spans="1:15" x14ac:dyDescent="0.25">
      <c r="A2207" t="s">
        <v>451</v>
      </c>
      <c r="B2207" s="1" t="s">
        <v>412</v>
      </c>
      <c r="C2207" s="1">
        <v>2017</v>
      </c>
      <c r="D2207" s="1">
        <v>2</v>
      </c>
      <c r="E2207" s="1">
        <v>2</v>
      </c>
      <c r="F2207" s="1">
        <v>2</v>
      </c>
      <c r="G2207" s="1">
        <v>0</v>
      </c>
      <c r="H2207" s="5">
        <v>2.09</v>
      </c>
      <c r="I2207" s="2">
        <f>1/1.05</f>
        <v>0.95238095238095233</v>
      </c>
      <c r="J2207">
        <v>14383</v>
      </c>
      <c r="K2207">
        <v>1.8177929854576562</v>
      </c>
      <c r="L2207">
        <v>5.2323923581408609</v>
      </c>
      <c r="M2207">
        <v>27.4</v>
      </c>
    </row>
    <row r="2208" spans="1:15" x14ac:dyDescent="0.25">
      <c r="A2208" s="8" t="s">
        <v>451</v>
      </c>
      <c r="B2208" s="1" t="s">
        <v>412</v>
      </c>
      <c r="C2208" s="1">
        <v>2018</v>
      </c>
      <c r="D2208" s="1">
        <v>2</v>
      </c>
      <c r="E2208" s="1">
        <v>2</v>
      </c>
      <c r="F2208" s="1">
        <v>2</v>
      </c>
      <c r="G2208" s="1">
        <v>0</v>
      </c>
      <c r="H2208" s="5">
        <v>1.1200000000000001</v>
      </c>
      <c r="I2208" s="2">
        <f>1/1.26</f>
        <v>0.79365079365079361</v>
      </c>
      <c r="J2208" s="3">
        <v>14368</v>
      </c>
      <c r="K2208">
        <v>1.8177929854576562</v>
      </c>
      <c r="L2208">
        <v>5.2323923581408609</v>
      </c>
      <c r="M2208">
        <v>27.3</v>
      </c>
    </row>
    <row r="2209" spans="1:15" x14ac:dyDescent="0.25">
      <c r="A2209" s="8" t="s">
        <v>452</v>
      </c>
      <c r="B2209" s="1" t="s">
        <v>412</v>
      </c>
      <c r="C2209" s="1">
        <v>2014</v>
      </c>
      <c r="D2209" s="1">
        <v>3</v>
      </c>
      <c r="E2209" s="1">
        <v>3</v>
      </c>
      <c r="F2209" s="1">
        <v>3</v>
      </c>
      <c r="G2209" s="1">
        <v>0</v>
      </c>
      <c r="H2209" s="5">
        <v>0.3</v>
      </c>
      <c r="I2209" s="2">
        <f>1/1.22</f>
        <v>0.81967213114754101</v>
      </c>
      <c r="J2209" s="3">
        <v>5872</v>
      </c>
      <c r="K2209">
        <v>1.2649572649572651</v>
      </c>
      <c r="L2209">
        <v>4.017094017094017</v>
      </c>
      <c r="M2209">
        <v>3.2</v>
      </c>
    </row>
    <row r="2210" spans="1:15" x14ac:dyDescent="0.25">
      <c r="A2210" s="8" t="s">
        <v>452</v>
      </c>
      <c r="B2210" s="1" t="s">
        <v>412</v>
      </c>
      <c r="C2210" s="1">
        <v>2015</v>
      </c>
      <c r="D2210" s="1">
        <v>3</v>
      </c>
      <c r="E2210" s="1">
        <v>3</v>
      </c>
      <c r="F2210" s="1">
        <v>3</v>
      </c>
      <c r="G2210" s="1">
        <v>0</v>
      </c>
      <c r="H2210" s="5">
        <v>1.36</v>
      </c>
      <c r="I2210" s="2">
        <f>1/1.22</f>
        <v>0.81967213114754101</v>
      </c>
      <c r="J2210" s="3">
        <v>5957</v>
      </c>
      <c r="K2210">
        <v>1.2649572649572651</v>
      </c>
      <c r="L2210">
        <v>4.017094017094017</v>
      </c>
      <c r="M2210">
        <v>3.2</v>
      </c>
    </row>
    <row r="2211" spans="1:15" x14ac:dyDescent="0.25">
      <c r="A2211" t="s">
        <v>452</v>
      </c>
      <c r="B2211" s="1" t="s">
        <v>412</v>
      </c>
      <c r="C2211" s="1">
        <v>2016</v>
      </c>
      <c r="D2211" s="1">
        <v>3</v>
      </c>
      <c r="E2211" s="1">
        <v>3</v>
      </c>
      <c r="F2211" s="1">
        <v>3</v>
      </c>
      <c r="G2211" s="1">
        <v>0</v>
      </c>
      <c r="H2211" s="5">
        <v>0.39</v>
      </c>
      <c r="I2211" s="2">
        <f>1/1.41</f>
        <v>0.70921985815602839</v>
      </c>
      <c r="J2211" s="6">
        <v>5850</v>
      </c>
      <c r="K2211" s="7">
        <v>1.2649572649572651</v>
      </c>
      <c r="L2211" s="7">
        <v>4.017094017094017</v>
      </c>
      <c r="M2211">
        <v>3.2</v>
      </c>
      <c r="O2211" s="7"/>
    </row>
    <row r="2212" spans="1:15" x14ac:dyDescent="0.25">
      <c r="A2212" t="s">
        <v>452</v>
      </c>
      <c r="B2212" s="1" t="s">
        <v>412</v>
      </c>
      <c r="C2212" s="1">
        <v>2017</v>
      </c>
      <c r="D2212" s="1">
        <v>3</v>
      </c>
      <c r="E2212" s="1">
        <v>3</v>
      </c>
      <c r="F2212" s="1">
        <v>3</v>
      </c>
      <c r="G2212" s="1">
        <v>0</v>
      </c>
      <c r="H2212" s="5">
        <v>0.4</v>
      </c>
      <c r="I2212" s="2">
        <f>1/1.39</f>
        <v>0.71942446043165476</v>
      </c>
      <c r="J2212">
        <v>6128</v>
      </c>
      <c r="K2212">
        <v>1.2649572649572651</v>
      </c>
      <c r="L2212">
        <v>4.017094017094017</v>
      </c>
      <c r="M2212">
        <v>3.3</v>
      </c>
    </row>
    <row r="2213" spans="1:15" x14ac:dyDescent="0.25">
      <c r="A2213" s="8" t="s">
        <v>452</v>
      </c>
      <c r="B2213" s="1" t="s">
        <v>412</v>
      </c>
      <c r="C2213" s="1">
        <v>2018</v>
      </c>
      <c r="D2213" s="1">
        <v>3</v>
      </c>
      <c r="E2213" s="1">
        <v>3</v>
      </c>
      <c r="F2213" s="1">
        <v>3</v>
      </c>
      <c r="G2213" s="1">
        <v>0</v>
      </c>
      <c r="H2213" s="5">
        <v>0.98</v>
      </c>
      <c r="I2213" s="2">
        <f>1/1.28</f>
        <v>0.78125</v>
      </c>
      <c r="J2213" s="3">
        <v>6154</v>
      </c>
      <c r="K2213">
        <v>1.2649572649572651</v>
      </c>
      <c r="L2213">
        <v>4.017094017094017</v>
      </c>
      <c r="M2213">
        <v>3.3</v>
      </c>
    </row>
    <row r="2214" spans="1:15" x14ac:dyDescent="0.25">
      <c r="A2214" s="8" t="s">
        <v>453</v>
      </c>
      <c r="B2214" s="1" t="s">
        <v>412</v>
      </c>
      <c r="C2214" s="1">
        <v>2014</v>
      </c>
      <c r="D2214" s="1">
        <v>5</v>
      </c>
      <c r="E2214" s="1">
        <v>5</v>
      </c>
      <c r="F2214" s="1">
        <v>5</v>
      </c>
      <c r="G2214" s="1">
        <v>0</v>
      </c>
      <c r="H2214" s="2">
        <v>3.42</v>
      </c>
      <c r="I2214" s="2">
        <f>1/1.18</f>
        <v>0.84745762711864414</v>
      </c>
      <c r="J2214" s="3">
        <v>8864</v>
      </c>
      <c r="K2214">
        <v>64.311594202898547</v>
      </c>
      <c r="L2214">
        <v>39.311594202898554</v>
      </c>
      <c r="M2214">
        <v>0.1</v>
      </c>
    </row>
    <row r="2215" spans="1:15" x14ac:dyDescent="0.25">
      <c r="A2215" s="8" t="s">
        <v>453</v>
      </c>
      <c r="B2215" s="1" t="s">
        <v>412</v>
      </c>
      <c r="C2215" s="1">
        <v>2015</v>
      </c>
      <c r="D2215" s="1">
        <v>5</v>
      </c>
      <c r="E2215" s="1">
        <v>5</v>
      </c>
      <c r="F2215" s="1">
        <v>5</v>
      </c>
      <c r="G2215" s="1">
        <v>0</v>
      </c>
      <c r="H2215" s="5">
        <v>0.64</v>
      </c>
      <c r="I2215" s="2">
        <f>1/1.28</f>
        <v>0.78125</v>
      </c>
      <c r="J2215" s="3">
        <v>8570</v>
      </c>
      <c r="K2215">
        <v>64.311594202898547</v>
      </c>
      <c r="L2215">
        <v>39.311594202898554</v>
      </c>
      <c r="M2215">
        <v>0.1</v>
      </c>
    </row>
    <row r="2216" spans="1:15" x14ac:dyDescent="0.25">
      <c r="A2216" t="s">
        <v>453</v>
      </c>
      <c r="B2216" s="1" t="s">
        <v>412</v>
      </c>
      <c r="C2216" s="1">
        <v>2016</v>
      </c>
      <c r="D2216" s="1">
        <v>5</v>
      </c>
      <c r="E2216" s="1">
        <v>5</v>
      </c>
      <c r="F2216" s="1">
        <v>5</v>
      </c>
      <c r="G2216" s="1">
        <v>0</v>
      </c>
      <c r="H2216" s="5">
        <v>0.36</v>
      </c>
      <c r="I2216" s="2">
        <f>1/1.84</f>
        <v>0.54347826086956519</v>
      </c>
      <c r="J2216" s="6">
        <v>7728</v>
      </c>
      <c r="K2216" s="7">
        <v>64.311594202898547</v>
      </c>
      <c r="L2216" s="7">
        <v>39.311594202898554</v>
      </c>
      <c r="M2216">
        <v>0.1</v>
      </c>
      <c r="O2216" s="7"/>
    </row>
    <row r="2217" spans="1:15" x14ac:dyDescent="0.25">
      <c r="A2217" t="s">
        <v>453</v>
      </c>
      <c r="B2217" s="1" t="s">
        <v>412</v>
      </c>
      <c r="C2217" s="1">
        <v>2017</v>
      </c>
      <c r="D2217" s="1">
        <v>5</v>
      </c>
      <c r="E2217" s="1">
        <v>5</v>
      </c>
      <c r="F2217" s="1">
        <v>5</v>
      </c>
      <c r="G2217" s="1">
        <v>0</v>
      </c>
      <c r="H2217" s="2">
        <f>0.52</f>
        <v>0.52</v>
      </c>
      <c r="I2217" s="2">
        <f>1/1.71</f>
        <v>0.58479532163742687</v>
      </c>
      <c r="J2217">
        <v>8220</v>
      </c>
      <c r="K2217">
        <v>64.311594202898547</v>
      </c>
      <c r="L2217">
        <v>39.311594202898554</v>
      </c>
      <c r="M2217">
        <v>0.1</v>
      </c>
    </row>
    <row r="2218" spans="1:15" x14ac:dyDescent="0.25">
      <c r="A2218" s="8" t="s">
        <v>453</v>
      </c>
      <c r="B2218" s="1" t="s">
        <v>412</v>
      </c>
      <c r="C2218" s="1">
        <v>2018</v>
      </c>
      <c r="D2218" s="1">
        <v>5</v>
      </c>
      <c r="E2218" s="1">
        <v>5</v>
      </c>
      <c r="F2218" s="1">
        <v>5</v>
      </c>
      <c r="G2218" s="1">
        <v>0</v>
      </c>
      <c r="H2218" s="5">
        <v>0.57999999999999996</v>
      </c>
      <c r="I2218" s="2">
        <f>1/2.51</f>
        <v>0.39840637450199207</v>
      </c>
      <c r="J2218" s="3">
        <v>8255</v>
      </c>
      <c r="K2218">
        <v>64.311594202898547</v>
      </c>
      <c r="L2218">
        <v>39.311594202898554</v>
      </c>
      <c r="M2218">
        <v>0.1</v>
      </c>
    </row>
    <row r="2219" spans="1:15" x14ac:dyDescent="0.25">
      <c r="A2219" s="8" t="s">
        <v>454</v>
      </c>
      <c r="B2219" s="1" t="s">
        <v>412</v>
      </c>
      <c r="C2219" s="1">
        <v>2014</v>
      </c>
      <c r="D2219" s="1">
        <v>2</v>
      </c>
      <c r="E2219" s="1">
        <v>2</v>
      </c>
      <c r="F2219" s="1">
        <v>2</v>
      </c>
      <c r="G2219" s="1">
        <v>0</v>
      </c>
      <c r="H2219" s="5">
        <v>0.6</v>
      </c>
      <c r="I2219" s="2">
        <f>1/1.38</f>
        <v>0.7246376811594204</v>
      </c>
      <c r="J2219" s="3">
        <v>5903</v>
      </c>
      <c r="K2219">
        <v>1.7373530914665303</v>
      </c>
      <c r="L2219">
        <v>4.4966785896780781</v>
      </c>
      <c r="M2219">
        <v>3.8</v>
      </c>
    </row>
    <row r="2220" spans="1:15" x14ac:dyDescent="0.25">
      <c r="A2220" s="8" t="s">
        <v>454</v>
      </c>
      <c r="B2220" s="1" t="s">
        <v>412</v>
      </c>
      <c r="C2220" s="1">
        <v>2015</v>
      </c>
      <c r="D2220" s="1">
        <v>2</v>
      </c>
      <c r="E2220" s="1">
        <v>2</v>
      </c>
      <c r="F2220" s="1">
        <v>2</v>
      </c>
      <c r="G2220" s="1">
        <v>0</v>
      </c>
      <c r="H2220" s="5">
        <v>0.62</v>
      </c>
      <c r="I2220" s="2">
        <f>1/1.23</f>
        <v>0.81300813008130079</v>
      </c>
      <c r="J2220" s="3">
        <v>5949</v>
      </c>
      <c r="K2220">
        <v>1.7373530914665303</v>
      </c>
      <c r="L2220">
        <v>4.4966785896780781</v>
      </c>
      <c r="M2220">
        <v>3.8</v>
      </c>
    </row>
    <row r="2221" spans="1:15" x14ac:dyDescent="0.25">
      <c r="A2221" t="s">
        <v>454</v>
      </c>
      <c r="B2221" s="1" t="s">
        <v>412</v>
      </c>
      <c r="C2221" s="1">
        <v>2016</v>
      </c>
      <c r="D2221" s="1">
        <v>2</v>
      </c>
      <c r="E2221" s="1">
        <v>2</v>
      </c>
      <c r="F2221" s="1">
        <v>2</v>
      </c>
      <c r="G2221" s="1">
        <v>0</v>
      </c>
      <c r="H2221" s="5">
        <v>0.93</v>
      </c>
      <c r="I2221" s="2">
        <f>1/1.57</f>
        <v>0.63694267515923564</v>
      </c>
      <c r="J2221" s="6">
        <v>5871</v>
      </c>
      <c r="K2221" s="7">
        <v>1.7373530914665303</v>
      </c>
      <c r="L2221" s="7">
        <v>4.4966785896780781</v>
      </c>
      <c r="M2221">
        <v>3.8</v>
      </c>
      <c r="O2221" s="7"/>
    </row>
    <row r="2222" spans="1:15" x14ac:dyDescent="0.25">
      <c r="A2222" t="s">
        <v>454</v>
      </c>
      <c r="B2222" s="1" t="s">
        <v>412</v>
      </c>
      <c r="C2222" s="1">
        <v>2017</v>
      </c>
      <c r="D2222" s="1">
        <v>2</v>
      </c>
      <c r="E2222" s="1">
        <v>2</v>
      </c>
      <c r="F2222" s="1">
        <v>2</v>
      </c>
      <c r="G2222" s="1">
        <v>0</v>
      </c>
      <c r="H2222" s="5">
        <v>0.54</v>
      </c>
      <c r="I2222" s="2">
        <f>1/1.38</f>
        <v>0.7246376811594204</v>
      </c>
      <c r="J2222">
        <v>6005</v>
      </c>
      <c r="K2222">
        <v>1.7373530914665303</v>
      </c>
      <c r="L2222">
        <v>4.4966785896780781</v>
      </c>
      <c r="M2222">
        <v>3.8</v>
      </c>
    </row>
    <row r="2223" spans="1:15" x14ac:dyDescent="0.25">
      <c r="A2223" s="8" t="s">
        <v>454</v>
      </c>
      <c r="B2223" s="1" t="s">
        <v>412</v>
      </c>
      <c r="C2223" s="1">
        <v>2018</v>
      </c>
      <c r="D2223" s="1">
        <v>2</v>
      </c>
      <c r="E2223" s="1">
        <v>2</v>
      </c>
      <c r="F2223" s="1">
        <v>2</v>
      </c>
      <c r="G2223" s="1">
        <v>0</v>
      </c>
      <c r="H2223" s="5">
        <v>0.55000000000000004</v>
      </c>
      <c r="I2223" s="2">
        <f>1/1.49</f>
        <v>0.67114093959731547</v>
      </c>
      <c r="J2223" s="3">
        <v>6062</v>
      </c>
      <c r="K2223">
        <v>1.7373530914665303</v>
      </c>
      <c r="L2223">
        <v>4.4966785896780781</v>
      </c>
      <c r="M2223">
        <v>3.9</v>
      </c>
    </row>
    <row r="2224" spans="1:15" x14ac:dyDescent="0.25">
      <c r="A2224" s="8" t="s">
        <v>455</v>
      </c>
      <c r="B2224" s="1" t="s">
        <v>412</v>
      </c>
      <c r="C2224" s="1">
        <v>2014</v>
      </c>
      <c r="D2224" s="1">
        <v>3</v>
      </c>
      <c r="E2224" s="1">
        <v>3</v>
      </c>
      <c r="F2224" s="1">
        <v>3</v>
      </c>
      <c r="G2224" s="1">
        <v>0</v>
      </c>
      <c r="H2224" s="5">
        <v>1.7</v>
      </c>
      <c r="I2224" s="2">
        <f>1/2.01</f>
        <v>0.49751243781094534</v>
      </c>
      <c r="J2224" s="3">
        <v>706</v>
      </c>
      <c r="K2224">
        <v>3.7518037518037519</v>
      </c>
      <c r="L2224">
        <v>0.4329004329004329</v>
      </c>
      <c r="M2224">
        <v>0.4</v>
      </c>
    </row>
    <row r="2225" spans="1:15" x14ac:dyDescent="0.25">
      <c r="A2225" s="8" t="s">
        <v>455</v>
      </c>
      <c r="B2225" s="1" t="s">
        <v>412</v>
      </c>
      <c r="C2225" s="1">
        <v>2015</v>
      </c>
      <c r="D2225" s="1">
        <v>3</v>
      </c>
      <c r="E2225" s="1">
        <v>3</v>
      </c>
      <c r="F2225" s="1">
        <v>3</v>
      </c>
      <c r="G2225" s="1">
        <v>0</v>
      </c>
      <c r="H2225" s="5">
        <v>1.2</v>
      </c>
      <c r="I2225" s="2">
        <f>1/1.05</f>
        <v>0.95238095238095233</v>
      </c>
      <c r="J2225" s="3">
        <v>706</v>
      </c>
      <c r="K2225">
        <v>3.7518037518037519</v>
      </c>
      <c r="L2225">
        <v>0.4329004329004329</v>
      </c>
      <c r="M2225">
        <v>0.4</v>
      </c>
    </row>
    <row r="2226" spans="1:15" x14ac:dyDescent="0.25">
      <c r="A2226" t="s">
        <v>455</v>
      </c>
      <c r="B2226" s="1" t="s">
        <v>412</v>
      </c>
      <c r="C2226" s="1">
        <v>2016</v>
      </c>
      <c r="D2226" s="1">
        <v>3</v>
      </c>
      <c r="E2226" s="1">
        <v>3</v>
      </c>
      <c r="F2226" s="1">
        <v>3</v>
      </c>
      <c r="G2226" s="1">
        <v>0</v>
      </c>
      <c r="H2226" s="5">
        <v>1.49</v>
      </c>
      <c r="I2226" s="2">
        <f>1/1.38</f>
        <v>0.7246376811594204</v>
      </c>
      <c r="J2226" s="6">
        <v>693</v>
      </c>
      <c r="K2226" s="7">
        <v>3.7518037518037519</v>
      </c>
      <c r="L2226" s="7">
        <v>0.4329004329004329</v>
      </c>
      <c r="M2226">
        <v>0.4</v>
      </c>
      <c r="O2226" s="7"/>
    </row>
    <row r="2227" spans="1:15" x14ac:dyDescent="0.25">
      <c r="A2227" t="s">
        <v>455</v>
      </c>
      <c r="B2227" s="1" t="s">
        <v>412</v>
      </c>
      <c r="C2227" s="1">
        <v>2017</v>
      </c>
      <c r="D2227" s="1">
        <v>3</v>
      </c>
      <c r="E2227" s="1">
        <v>3</v>
      </c>
      <c r="F2227" s="1">
        <v>3</v>
      </c>
      <c r="G2227" s="1">
        <v>0</v>
      </c>
      <c r="H2227" s="5">
        <v>0.96</v>
      </c>
      <c r="I2227" s="2">
        <f>1/0.57</f>
        <v>1.7543859649122808</v>
      </c>
      <c r="J2227">
        <v>697</v>
      </c>
      <c r="K2227">
        <v>3.7518037518037519</v>
      </c>
      <c r="L2227">
        <v>0.4329004329004329</v>
      </c>
      <c r="M2227">
        <v>0.4</v>
      </c>
    </row>
    <row r="2228" spans="1:15" x14ac:dyDescent="0.25">
      <c r="A2228" s="8" t="s">
        <v>455</v>
      </c>
      <c r="B2228" s="1" t="s">
        <v>412</v>
      </c>
      <c r="C2228" s="1">
        <v>2018</v>
      </c>
      <c r="D2228" s="1">
        <v>3</v>
      </c>
      <c r="E2228" s="1">
        <v>3</v>
      </c>
      <c r="F2228" s="1">
        <v>3</v>
      </c>
      <c r="G2228" s="1">
        <v>0</v>
      </c>
      <c r="H2228" s="5">
        <v>0.56999999999999995</v>
      </c>
      <c r="I2228" s="2">
        <f>1/1.84</f>
        <v>0.54347826086956519</v>
      </c>
      <c r="J2228" s="3">
        <v>676</v>
      </c>
      <c r="K2228">
        <v>3.7518037518037519</v>
      </c>
      <c r="L2228">
        <v>0.4329004329004329</v>
      </c>
      <c r="M2228">
        <v>0.4</v>
      </c>
    </row>
    <row r="2229" spans="1:15" x14ac:dyDescent="0.25">
      <c r="A2229" s="8" t="s">
        <v>456</v>
      </c>
      <c r="B2229" s="1" t="s">
        <v>412</v>
      </c>
      <c r="C2229" s="1">
        <v>2014</v>
      </c>
      <c r="D2229" s="1">
        <v>4</v>
      </c>
      <c r="E2229" s="1">
        <v>4</v>
      </c>
      <c r="F2229" s="1">
        <v>4</v>
      </c>
      <c r="G2229" s="1">
        <v>0</v>
      </c>
      <c r="H2229" s="5">
        <v>0.96</v>
      </c>
      <c r="I2229" s="2">
        <f>1/0.06</f>
        <v>16.666666666666668</v>
      </c>
      <c r="J2229" s="3">
        <v>653</v>
      </c>
      <c r="K2229">
        <v>2.3774145616641902</v>
      </c>
      <c r="L2229">
        <v>0.89153046062407126</v>
      </c>
      <c r="M2229">
        <v>0.3</v>
      </c>
    </row>
    <row r="2230" spans="1:15" x14ac:dyDescent="0.25">
      <c r="A2230" s="8" t="s">
        <v>456</v>
      </c>
      <c r="B2230" s="1" t="s">
        <v>412</v>
      </c>
      <c r="C2230" s="1">
        <v>2015</v>
      </c>
      <c r="D2230" s="1">
        <v>4</v>
      </c>
      <c r="E2230" s="1">
        <v>4</v>
      </c>
      <c r="F2230" s="1">
        <v>4</v>
      </c>
      <c r="G2230" s="1">
        <v>0</v>
      </c>
      <c r="H2230" s="5">
        <v>1.17</v>
      </c>
      <c r="I2230" s="2">
        <v>8</v>
      </c>
      <c r="J2230" s="3">
        <v>663</v>
      </c>
      <c r="K2230">
        <v>2.3774145616641902</v>
      </c>
      <c r="L2230">
        <v>0.89153046062407126</v>
      </c>
      <c r="M2230">
        <v>0.3</v>
      </c>
    </row>
    <row r="2231" spans="1:15" x14ac:dyDescent="0.25">
      <c r="A2231" t="s">
        <v>456</v>
      </c>
      <c r="B2231" s="1" t="s">
        <v>412</v>
      </c>
      <c r="C2231" s="1">
        <v>2016</v>
      </c>
      <c r="D2231" s="1">
        <v>4</v>
      </c>
      <c r="E2231" s="1">
        <v>4</v>
      </c>
      <c r="F2231" s="1">
        <v>4</v>
      </c>
      <c r="G2231" s="1">
        <v>0</v>
      </c>
      <c r="H2231" s="5">
        <v>1.88</v>
      </c>
      <c r="I2231" s="2">
        <f>1/1.46</f>
        <v>0.68493150684931503</v>
      </c>
      <c r="J2231" s="6">
        <v>673</v>
      </c>
      <c r="K2231" s="7">
        <v>2.3774145616641902</v>
      </c>
      <c r="L2231" s="7">
        <v>0.89153046062407126</v>
      </c>
      <c r="M2231">
        <v>0.3</v>
      </c>
      <c r="O2231" s="7"/>
    </row>
    <row r="2232" spans="1:15" x14ac:dyDescent="0.25">
      <c r="A2232" t="s">
        <v>456</v>
      </c>
      <c r="B2232" s="1" t="s">
        <v>412</v>
      </c>
      <c r="C2232" s="1">
        <v>2017</v>
      </c>
      <c r="D2232" s="1">
        <v>4</v>
      </c>
      <c r="E2232" s="1">
        <v>4</v>
      </c>
      <c r="F2232" s="1">
        <v>4</v>
      </c>
      <c r="G2232" s="1">
        <v>0</v>
      </c>
      <c r="H2232" s="5">
        <v>1.34</v>
      </c>
      <c r="I2232" s="2">
        <f>1/0.92</f>
        <v>1.0869565217391304</v>
      </c>
      <c r="J2232">
        <v>679</v>
      </c>
      <c r="K2232">
        <v>2.3774145616641902</v>
      </c>
      <c r="L2232">
        <v>0.89153046062407126</v>
      </c>
      <c r="M2232">
        <v>0.3</v>
      </c>
    </row>
    <row r="2233" spans="1:15" x14ac:dyDescent="0.25">
      <c r="A2233" s="8" t="s">
        <v>456</v>
      </c>
      <c r="B2233" s="1" t="s">
        <v>412</v>
      </c>
      <c r="C2233" s="1">
        <v>2018</v>
      </c>
      <c r="D2233" s="1">
        <v>4</v>
      </c>
      <c r="E2233" s="1">
        <v>4</v>
      </c>
      <c r="F2233" s="1">
        <v>4</v>
      </c>
      <c r="G2233" s="1">
        <v>0</v>
      </c>
      <c r="H2233" s="5">
        <v>2.85</v>
      </c>
      <c r="I2233" s="2">
        <f>1/1.17</f>
        <v>0.85470085470085477</v>
      </c>
      <c r="J2233" s="3">
        <v>676</v>
      </c>
      <c r="K2233">
        <v>2.3774145616641902</v>
      </c>
      <c r="L2233">
        <v>0.89153046062407126</v>
      </c>
      <c r="M2233">
        <v>0.3</v>
      </c>
    </row>
    <row r="2234" spans="1:15" x14ac:dyDescent="0.25">
      <c r="A2234" s="8" t="s">
        <v>457</v>
      </c>
      <c r="B2234" s="1" t="s">
        <v>412</v>
      </c>
      <c r="C2234" s="1">
        <v>2014</v>
      </c>
      <c r="D2234" s="1">
        <v>5</v>
      </c>
      <c r="E2234" s="1">
        <v>5</v>
      </c>
      <c r="F2234" s="1">
        <v>5</v>
      </c>
      <c r="G2234" s="1">
        <v>0</v>
      </c>
      <c r="H2234" s="5">
        <v>1.25</v>
      </c>
      <c r="I2234" s="2">
        <f>1/0.86</f>
        <v>1.1627906976744187</v>
      </c>
      <c r="J2234" s="3">
        <v>979</v>
      </c>
      <c r="K2234">
        <v>9.7783572359843536</v>
      </c>
      <c r="L2234">
        <v>4.432855280312908</v>
      </c>
      <c r="M2234">
        <v>0</v>
      </c>
    </row>
    <row r="2235" spans="1:15" x14ac:dyDescent="0.25">
      <c r="A2235" s="8" t="s">
        <v>457</v>
      </c>
      <c r="B2235" s="1" t="s">
        <v>412</v>
      </c>
      <c r="C2235" s="1">
        <v>2015</v>
      </c>
      <c r="D2235" s="1">
        <v>5</v>
      </c>
      <c r="E2235" s="1">
        <v>5</v>
      </c>
      <c r="F2235" s="1">
        <v>5</v>
      </c>
      <c r="G2235" s="1">
        <v>0</v>
      </c>
      <c r="H2235" s="5">
        <v>2.93</v>
      </c>
      <c r="I2235" s="2">
        <f>1/0.44</f>
        <v>2.2727272727272729</v>
      </c>
      <c r="J2235" s="3">
        <v>894</v>
      </c>
      <c r="K2235">
        <v>9.7783572359843536</v>
      </c>
      <c r="L2235">
        <v>4.432855280312908</v>
      </c>
      <c r="M2235">
        <v>0</v>
      </c>
    </row>
    <row r="2236" spans="1:15" x14ac:dyDescent="0.25">
      <c r="A2236" t="s">
        <v>457</v>
      </c>
      <c r="B2236" s="1" t="s">
        <v>412</v>
      </c>
      <c r="C2236" s="1">
        <v>2016</v>
      </c>
      <c r="D2236" s="1">
        <v>5</v>
      </c>
      <c r="E2236" s="1">
        <v>5</v>
      </c>
      <c r="F2236" s="1">
        <v>5</v>
      </c>
      <c r="G2236" s="1">
        <v>0</v>
      </c>
      <c r="H2236" s="5">
        <v>1.72</v>
      </c>
      <c r="I2236" s="2">
        <f>1/1.6</f>
        <v>0.625</v>
      </c>
      <c r="J2236" s="6">
        <v>767</v>
      </c>
      <c r="K2236" s="7">
        <v>9.7783572359843536</v>
      </c>
      <c r="L2236" s="7">
        <v>4.432855280312908</v>
      </c>
      <c r="M2236">
        <v>0</v>
      </c>
      <c r="O2236" s="7"/>
    </row>
    <row r="2237" spans="1:15" x14ac:dyDescent="0.25">
      <c r="A2237" t="s">
        <v>457</v>
      </c>
      <c r="B2237" s="1" t="s">
        <v>412</v>
      </c>
      <c r="C2237" s="1">
        <v>2017</v>
      </c>
      <c r="D2237" s="1">
        <v>5</v>
      </c>
      <c r="E2237" s="1">
        <v>5</v>
      </c>
      <c r="F2237" s="1">
        <v>5</v>
      </c>
      <c r="G2237" s="1">
        <v>0</v>
      </c>
      <c r="H2237" s="5">
        <v>0.65</v>
      </c>
      <c r="I2237" s="2">
        <f>1/0.99</f>
        <v>1.0101010101010102</v>
      </c>
      <c r="J2237">
        <v>762</v>
      </c>
      <c r="K2237">
        <v>9.7783572359843536</v>
      </c>
      <c r="L2237">
        <v>4.432855280312908</v>
      </c>
      <c r="M2237">
        <v>0</v>
      </c>
    </row>
    <row r="2238" spans="1:15" x14ac:dyDescent="0.25">
      <c r="A2238" s="8" t="s">
        <v>457</v>
      </c>
      <c r="B2238" s="1" t="s">
        <v>412</v>
      </c>
      <c r="C2238" s="1">
        <v>2018</v>
      </c>
      <c r="D2238" s="1">
        <v>5</v>
      </c>
      <c r="E2238" s="1">
        <v>5</v>
      </c>
      <c r="F2238" s="1">
        <v>5</v>
      </c>
      <c r="G2238" s="1">
        <v>0</v>
      </c>
      <c r="H2238" s="5">
        <v>0.35</v>
      </c>
      <c r="I2238" s="2">
        <f>1/1.4</f>
        <v>0.7142857142857143</v>
      </c>
      <c r="J2238" s="3">
        <v>735</v>
      </c>
      <c r="K2238">
        <v>9.7783572359843536</v>
      </c>
      <c r="L2238">
        <v>4.432855280312908</v>
      </c>
      <c r="M2238">
        <v>0</v>
      </c>
    </row>
    <row r="2239" spans="1:15" x14ac:dyDescent="0.25">
      <c r="A2239" s="8" t="s">
        <v>458</v>
      </c>
      <c r="B2239" s="1" t="s">
        <v>412</v>
      </c>
      <c r="C2239" s="1">
        <v>2014</v>
      </c>
      <c r="D2239" s="1">
        <v>1</v>
      </c>
      <c r="E2239" s="1">
        <v>1</v>
      </c>
      <c r="F2239" s="1">
        <v>1</v>
      </c>
      <c r="G2239" s="1">
        <v>0</v>
      </c>
      <c r="H2239" s="5">
        <v>1.48</v>
      </c>
      <c r="I2239" s="2">
        <f>1/0.92</f>
        <v>1.0869565217391304</v>
      </c>
      <c r="J2239" s="3">
        <v>7769</v>
      </c>
      <c r="K2239">
        <v>0.46101694915254238</v>
      </c>
      <c r="L2239">
        <v>8.1084745762711865</v>
      </c>
      <c r="M2239">
        <v>2475.5</v>
      </c>
    </row>
    <row r="2240" spans="1:15" x14ac:dyDescent="0.25">
      <c r="A2240" s="8" t="s">
        <v>458</v>
      </c>
      <c r="B2240" s="1" t="s">
        <v>412</v>
      </c>
      <c r="C2240" s="1">
        <v>2015</v>
      </c>
      <c r="D2240" s="1">
        <v>1</v>
      </c>
      <c r="E2240" s="1">
        <v>1</v>
      </c>
      <c r="F2240" s="1">
        <v>1</v>
      </c>
      <c r="G2240" s="1">
        <v>0</v>
      </c>
      <c r="H2240" s="5">
        <v>1.32</v>
      </c>
      <c r="I2240" s="2">
        <f>1/0.91</f>
        <v>1.0989010989010988</v>
      </c>
      <c r="J2240" s="3">
        <v>7731</v>
      </c>
      <c r="K2240">
        <v>0.46101694915254238</v>
      </c>
      <c r="L2240">
        <v>8.1084745762711865</v>
      </c>
      <c r="M2240">
        <v>2463.4</v>
      </c>
    </row>
    <row r="2241" spans="1:15" x14ac:dyDescent="0.25">
      <c r="A2241" t="s">
        <v>458</v>
      </c>
      <c r="B2241" s="1" t="s">
        <v>412</v>
      </c>
      <c r="C2241" s="1">
        <v>2016</v>
      </c>
      <c r="D2241" s="1">
        <v>1</v>
      </c>
      <c r="E2241" s="1">
        <v>1</v>
      </c>
      <c r="F2241" s="1">
        <v>1</v>
      </c>
      <c r="G2241" s="1">
        <v>0</v>
      </c>
      <c r="H2241" s="5">
        <v>0.2</v>
      </c>
      <c r="I2241" s="2">
        <f>1/1.07</f>
        <v>0.93457943925233644</v>
      </c>
      <c r="J2241" s="6">
        <v>7375</v>
      </c>
      <c r="K2241" s="7">
        <v>0.46101694915254238</v>
      </c>
      <c r="L2241" s="7">
        <v>8.1084745762711865</v>
      </c>
      <c r="M2241">
        <v>2447.1</v>
      </c>
      <c r="O2241" s="7"/>
    </row>
    <row r="2242" spans="1:15" x14ac:dyDescent="0.25">
      <c r="A2242" t="s">
        <v>458</v>
      </c>
      <c r="B2242" s="1" t="s">
        <v>412</v>
      </c>
      <c r="C2242" s="1">
        <v>2017</v>
      </c>
      <c r="D2242" s="1">
        <v>1</v>
      </c>
      <c r="E2242" s="1">
        <v>1</v>
      </c>
      <c r="F2242" s="1">
        <v>1</v>
      </c>
      <c r="G2242" s="1">
        <v>0</v>
      </c>
      <c r="H2242" s="5">
        <v>0.76</v>
      </c>
      <c r="I2242" s="2">
        <f>1/1.01</f>
        <v>0.99009900990099009</v>
      </c>
      <c r="J2242">
        <v>7770</v>
      </c>
      <c r="K2242">
        <v>0.46101694915254238</v>
      </c>
      <c r="L2242">
        <v>8.1084745762711865</v>
      </c>
      <c r="M2242">
        <v>2475.8000000000002</v>
      </c>
    </row>
    <row r="2243" spans="1:15" x14ac:dyDescent="0.25">
      <c r="A2243" s="8" t="s">
        <v>458</v>
      </c>
      <c r="B2243" s="1" t="s">
        <v>412</v>
      </c>
      <c r="C2243" s="1">
        <v>2018</v>
      </c>
      <c r="D2243" s="1">
        <v>1</v>
      </c>
      <c r="E2243" s="1">
        <v>1</v>
      </c>
      <c r="F2243" s="1">
        <v>1</v>
      </c>
      <c r="G2243" s="1">
        <v>0</v>
      </c>
      <c r="H2243" s="5">
        <v>1.1299999999999999</v>
      </c>
      <c r="I2243" s="2">
        <f>1/1.04</f>
        <v>0.96153846153846145</v>
      </c>
      <c r="J2243" s="3">
        <v>7811</v>
      </c>
      <c r="K2243">
        <v>0.46101694915254238</v>
      </c>
      <c r="L2243">
        <v>8.1084745762711865</v>
      </c>
      <c r="M2243">
        <v>2488.8000000000002</v>
      </c>
    </row>
    <row r="2244" spans="1:15" x14ac:dyDescent="0.25">
      <c r="A2244" s="8" t="s">
        <v>459</v>
      </c>
      <c r="B2244" s="1" t="s">
        <v>412</v>
      </c>
      <c r="C2244" s="1">
        <v>2014</v>
      </c>
      <c r="D2244" s="1">
        <v>5</v>
      </c>
      <c r="E2244" s="1">
        <v>5</v>
      </c>
      <c r="F2244" s="1">
        <v>5</v>
      </c>
      <c r="G2244" s="1">
        <v>0</v>
      </c>
      <c r="H2244" s="5">
        <v>0.69</v>
      </c>
      <c r="I2244" s="2">
        <f>1/0.9</f>
        <v>1.1111111111111112</v>
      </c>
      <c r="J2244" s="3">
        <v>12149</v>
      </c>
      <c r="K2244">
        <v>19.573222547445944</v>
      </c>
      <c r="L2244">
        <v>18.60069870644887</v>
      </c>
      <c r="M2244">
        <v>0</v>
      </c>
    </row>
    <row r="2245" spans="1:15" x14ac:dyDescent="0.25">
      <c r="A2245" s="8" t="s">
        <v>459</v>
      </c>
      <c r="B2245" s="1" t="s">
        <v>412</v>
      </c>
      <c r="C2245" s="1">
        <v>2015</v>
      </c>
      <c r="D2245" s="1">
        <v>5</v>
      </c>
      <c r="E2245" s="1">
        <v>5</v>
      </c>
      <c r="F2245" s="1">
        <v>5</v>
      </c>
      <c r="G2245" s="1">
        <v>0</v>
      </c>
      <c r="H2245" s="5">
        <v>0.55000000000000004</v>
      </c>
      <c r="I2245" s="2">
        <f>1/0.98</f>
        <v>1.0204081632653061</v>
      </c>
      <c r="J2245" s="3">
        <v>11529</v>
      </c>
      <c r="K2245">
        <v>19.573222547445944</v>
      </c>
      <c r="L2245">
        <v>18.60069870644887</v>
      </c>
      <c r="M2245">
        <v>0</v>
      </c>
    </row>
    <row r="2246" spans="1:15" x14ac:dyDescent="0.25">
      <c r="A2246" t="s">
        <v>459</v>
      </c>
      <c r="B2246" s="1" t="s">
        <v>412</v>
      </c>
      <c r="C2246" s="1">
        <v>2016</v>
      </c>
      <c r="D2246" s="1">
        <v>5</v>
      </c>
      <c r="E2246" s="1">
        <v>5</v>
      </c>
      <c r="F2246" s="1">
        <v>5</v>
      </c>
      <c r="G2246" s="1">
        <v>0</v>
      </c>
      <c r="H2246" s="5">
        <v>1.02</v>
      </c>
      <c r="I2246" s="2">
        <f>1/0.86</f>
        <v>1.1627906976744187</v>
      </c>
      <c r="J2246" s="6">
        <v>10591</v>
      </c>
      <c r="K2246" s="7">
        <v>19.573222547445944</v>
      </c>
      <c r="L2246" s="7">
        <v>18.60069870644887</v>
      </c>
      <c r="M2246">
        <v>0</v>
      </c>
      <c r="O2246" s="7"/>
    </row>
    <row r="2247" spans="1:15" x14ac:dyDescent="0.25">
      <c r="A2247" t="s">
        <v>459</v>
      </c>
      <c r="B2247" s="1" t="s">
        <v>412</v>
      </c>
      <c r="C2247" s="1">
        <v>2017</v>
      </c>
      <c r="D2247" s="1">
        <v>5</v>
      </c>
      <c r="E2247" s="1">
        <v>5</v>
      </c>
      <c r="F2247" s="1">
        <v>5</v>
      </c>
      <c r="G2247" s="1">
        <v>0</v>
      </c>
      <c r="H2247" s="5">
        <v>0.61</v>
      </c>
      <c r="I2247" s="2">
        <f>1/1.2</f>
        <v>0.83333333333333337</v>
      </c>
      <c r="J2247">
        <v>11003</v>
      </c>
      <c r="K2247">
        <v>19.573222547445944</v>
      </c>
      <c r="L2247">
        <v>18.60069870644887</v>
      </c>
      <c r="M2247">
        <v>0</v>
      </c>
    </row>
    <row r="2248" spans="1:15" x14ac:dyDescent="0.25">
      <c r="A2248" s="8" t="s">
        <v>459</v>
      </c>
      <c r="B2248" s="1" t="s">
        <v>412</v>
      </c>
      <c r="C2248" s="1">
        <v>2018</v>
      </c>
      <c r="D2248" s="1">
        <v>5</v>
      </c>
      <c r="E2248" s="1">
        <v>5</v>
      </c>
      <c r="F2248" s="1">
        <v>5</v>
      </c>
      <c r="G2248" s="1">
        <v>0</v>
      </c>
      <c r="H2248" s="5">
        <v>0.47</v>
      </c>
      <c r="I2248" s="2">
        <f>1/1.09</f>
        <v>0.9174311926605504</v>
      </c>
      <c r="J2248" s="3">
        <v>10970</v>
      </c>
      <c r="K2248">
        <v>19.573222547445944</v>
      </c>
      <c r="L2248">
        <v>18.60069870644887</v>
      </c>
      <c r="M2248">
        <v>0</v>
      </c>
    </row>
    <row r="2249" spans="1:15" x14ac:dyDescent="0.25">
      <c r="A2249" s="8" t="s">
        <v>460</v>
      </c>
      <c r="B2249" s="1" t="s">
        <v>412</v>
      </c>
      <c r="C2249" s="1">
        <v>2014</v>
      </c>
      <c r="D2249" s="1">
        <v>4</v>
      </c>
      <c r="E2249" s="1">
        <v>5</v>
      </c>
      <c r="F2249" s="1">
        <v>4.5</v>
      </c>
      <c r="G2249" s="1">
        <v>1</v>
      </c>
      <c r="H2249" s="5">
        <v>1.48</v>
      </c>
      <c r="I2249" s="2">
        <f>1/0.97</f>
        <v>1.0309278350515465</v>
      </c>
      <c r="J2249" s="3">
        <v>14624</v>
      </c>
      <c r="K2249">
        <v>4.1016996769209157</v>
      </c>
      <c r="L2249">
        <v>3.3853069251299344</v>
      </c>
      <c r="M2249">
        <v>0.3</v>
      </c>
    </row>
    <row r="2250" spans="1:15" x14ac:dyDescent="0.25">
      <c r="A2250" s="8" t="s">
        <v>460</v>
      </c>
      <c r="B2250" s="1" t="s">
        <v>412</v>
      </c>
      <c r="C2250" s="1">
        <v>2015</v>
      </c>
      <c r="D2250" s="1">
        <v>4</v>
      </c>
      <c r="E2250" s="1">
        <v>5</v>
      </c>
      <c r="F2250" s="1">
        <v>4.5</v>
      </c>
      <c r="G2250" s="1">
        <v>1</v>
      </c>
      <c r="H2250" s="5">
        <v>0.9</v>
      </c>
      <c r="I2250" s="2">
        <f>1/0.75</f>
        <v>1.3333333333333333</v>
      </c>
      <c r="J2250" s="3">
        <v>14734</v>
      </c>
      <c r="K2250">
        <v>4.1016996769209157</v>
      </c>
      <c r="L2250">
        <v>3.3853069251299344</v>
      </c>
      <c r="M2250">
        <v>0.3</v>
      </c>
    </row>
    <row r="2251" spans="1:15" x14ac:dyDescent="0.25">
      <c r="A2251" t="s">
        <v>460</v>
      </c>
      <c r="B2251" s="1" t="s">
        <v>412</v>
      </c>
      <c r="C2251" s="1">
        <v>2016</v>
      </c>
      <c r="D2251" s="1">
        <v>4</v>
      </c>
      <c r="E2251" s="1">
        <v>5</v>
      </c>
      <c r="F2251" s="1">
        <v>4.5</v>
      </c>
      <c r="G2251" s="1">
        <v>1</v>
      </c>
      <c r="H2251" s="5">
        <v>0.8</v>
      </c>
      <c r="I2251" s="2">
        <f>1/1.16</f>
        <v>0.86206896551724144</v>
      </c>
      <c r="J2251" s="6">
        <v>14238</v>
      </c>
      <c r="K2251" s="7">
        <v>4.1016996769209157</v>
      </c>
      <c r="L2251" s="7">
        <v>3.3853069251299344</v>
      </c>
      <c r="M2251">
        <v>0.3</v>
      </c>
      <c r="O2251" s="7"/>
    </row>
    <row r="2252" spans="1:15" x14ac:dyDescent="0.25">
      <c r="A2252" t="s">
        <v>460</v>
      </c>
      <c r="B2252" s="1" t="s">
        <v>412</v>
      </c>
      <c r="C2252" s="1">
        <v>2017</v>
      </c>
      <c r="D2252" s="1">
        <v>4</v>
      </c>
      <c r="E2252" s="1">
        <v>5</v>
      </c>
      <c r="F2252" s="1">
        <v>4.5</v>
      </c>
      <c r="G2252" s="1">
        <v>1</v>
      </c>
      <c r="H2252" s="5">
        <v>0.87</v>
      </c>
      <c r="I2252" s="2">
        <f>1/0.97</f>
        <v>1.0309278350515465</v>
      </c>
      <c r="J2252">
        <v>14420</v>
      </c>
      <c r="K2252">
        <v>4.1016996769209157</v>
      </c>
      <c r="L2252">
        <v>3.3853069251299344</v>
      </c>
      <c r="M2252">
        <v>0.3</v>
      </c>
    </row>
    <row r="2253" spans="1:15" x14ac:dyDescent="0.25">
      <c r="A2253" s="8" t="s">
        <v>460</v>
      </c>
      <c r="B2253" s="1" t="s">
        <v>412</v>
      </c>
      <c r="C2253" s="1">
        <v>2018</v>
      </c>
      <c r="D2253" s="1">
        <v>4</v>
      </c>
      <c r="E2253" s="1">
        <v>5</v>
      </c>
      <c r="F2253" s="1">
        <v>4.5</v>
      </c>
      <c r="G2253" s="1">
        <v>1</v>
      </c>
      <c r="H2253" s="5">
        <v>0.81</v>
      </c>
      <c r="I2253" s="2">
        <f>1/1.01</f>
        <v>0.99009900990099009</v>
      </c>
      <c r="J2253" s="3">
        <v>14281</v>
      </c>
      <c r="K2253">
        <v>4.1016996769209157</v>
      </c>
      <c r="L2253">
        <v>3.3853069251299344</v>
      </c>
      <c r="M2253">
        <v>0.3</v>
      </c>
    </row>
    <row r="2254" spans="1:15" x14ac:dyDescent="0.25">
      <c r="A2254" s="8" t="s">
        <v>461</v>
      </c>
      <c r="B2254" s="1" t="s">
        <v>412</v>
      </c>
      <c r="C2254" s="1">
        <v>2014</v>
      </c>
      <c r="D2254" s="1">
        <v>5</v>
      </c>
      <c r="E2254" s="1">
        <v>5</v>
      </c>
      <c r="F2254" s="1">
        <v>5</v>
      </c>
      <c r="G2254" s="1">
        <v>0</v>
      </c>
      <c r="H2254" s="5">
        <v>1.61</v>
      </c>
      <c r="I2254" s="2">
        <f>1/1.19</f>
        <v>0.84033613445378152</v>
      </c>
      <c r="J2254" s="3">
        <v>2717</v>
      </c>
      <c r="K2254">
        <v>2.0902090209020905</v>
      </c>
      <c r="L2254">
        <v>4.3270993766043269</v>
      </c>
      <c r="M2254">
        <v>0.4</v>
      </c>
    </row>
    <row r="2255" spans="1:15" x14ac:dyDescent="0.25">
      <c r="A2255" s="8" t="s">
        <v>461</v>
      </c>
      <c r="B2255" s="1" t="s">
        <v>412</v>
      </c>
      <c r="C2255" s="1">
        <v>2015</v>
      </c>
      <c r="D2255" s="1">
        <v>5</v>
      </c>
      <c r="E2255" s="1">
        <v>5</v>
      </c>
      <c r="F2255" s="1">
        <v>5</v>
      </c>
      <c r="G2255" s="1">
        <v>0</v>
      </c>
      <c r="H2255" s="5">
        <v>0.45</v>
      </c>
      <c r="I2255" s="2">
        <f>1/1.16</f>
        <v>0.86206896551724144</v>
      </c>
      <c r="J2255" s="3">
        <v>2749</v>
      </c>
      <c r="K2255">
        <v>2.0902090209020905</v>
      </c>
      <c r="L2255">
        <v>4.3270993766043269</v>
      </c>
      <c r="M2255">
        <v>0.4</v>
      </c>
    </row>
    <row r="2256" spans="1:15" x14ac:dyDescent="0.25">
      <c r="A2256" t="s">
        <v>461</v>
      </c>
      <c r="B2256" s="1" t="s">
        <v>412</v>
      </c>
      <c r="C2256" s="1">
        <v>2016</v>
      </c>
      <c r="D2256" s="1">
        <v>5</v>
      </c>
      <c r="E2256" s="1">
        <v>5</v>
      </c>
      <c r="F2256" s="1">
        <v>5</v>
      </c>
      <c r="G2256" s="1">
        <v>0</v>
      </c>
      <c r="H2256" s="5">
        <v>0.63</v>
      </c>
      <c r="I2256" s="2">
        <f>1/1.25</f>
        <v>0.8</v>
      </c>
      <c r="J2256" s="6">
        <v>2727</v>
      </c>
      <c r="K2256" s="7">
        <v>2.0902090209020905</v>
      </c>
      <c r="L2256" s="7">
        <v>4.3270993766043269</v>
      </c>
      <c r="M2256">
        <v>0.4</v>
      </c>
      <c r="O2256" s="7"/>
    </row>
    <row r="2257" spans="1:15" x14ac:dyDescent="0.25">
      <c r="A2257" t="s">
        <v>461</v>
      </c>
      <c r="B2257" s="1" t="s">
        <v>412</v>
      </c>
      <c r="C2257" s="1">
        <v>2017</v>
      </c>
      <c r="D2257" s="1">
        <v>5</v>
      </c>
      <c r="E2257" s="1">
        <v>5</v>
      </c>
      <c r="F2257" s="1">
        <v>5</v>
      </c>
      <c r="G2257" s="1">
        <v>0</v>
      </c>
      <c r="H2257" s="5">
        <v>0.12</v>
      </c>
      <c r="I2257" s="2">
        <f>1/1.21</f>
        <v>0.82644628099173556</v>
      </c>
      <c r="J2257">
        <v>2798</v>
      </c>
      <c r="K2257">
        <v>2.0902090209020905</v>
      </c>
      <c r="L2257">
        <v>4.3270993766043269</v>
      </c>
      <c r="M2257">
        <v>0.4</v>
      </c>
    </row>
    <row r="2258" spans="1:15" x14ac:dyDescent="0.25">
      <c r="A2258" s="8" t="s">
        <v>461</v>
      </c>
      <c r="B2258" s="1" t="s">
        <v>412</v>
      </c>
      <c r="C2258" s="1">
        <v>2018</v>
      </c>
      <c r="D2258" s="1">
        <v>5</v>
      </c>
      <c r="E2258" s="1">
        <v>5</v>
      </c>
      <c r="F2258" s="1">
        <v>5</v>
      </c>
      <c r="G2258" s="1">
        <v>0</v>
      </c>
      <c r="H2258" s="5">
        <v>0.19</v>
      </c>
      <c r="I2258" s="2">
        <f>1/1.24</f>
        <v>0.80645161290322587</v>
      </c>
      <c r="J2258" s="3">
        <v>2836</v>
      </c>
      <c r="K2258">
        <v>2.0902090209020905</v>
      </c>
      <c r="L2258">
        <v>4.3270993766043269</v>
      </c>
      <c r="M2258">
        <v>0.4</v>
      </c>
    </row>
    <row r="2259" spans="1:15" x14ac:dyDescent="0.25">
      <c r="A2259" s="8" t="s">
        <v>462</v>
      </c>
      <c r="B2259" s="1" t="s">
        <v>412</v>
      </c>
      <c r="C2259" s="1">
        <v>2014</v>
      </c>
      <c r="D2259" s="1">
        <v>1</v>
      </c>
      <c r="E2259" s="1">
        <v>1</v>
      </c>
      <c r="F2259" s="1">
        <v>1</v>
      </c>
      <c r="G2259" s="1">
        <v>0</v>
      </c>
      <c r="H2259" s="5">
        <v>1.06</v>
      </c>
      <c r="I2259" s="2">
        <f>1/1.01</f>
        <v>0.99009900990099009</v>
      </c>
      <c r="J2259" s="3">
        <v>30361</v>
      </c>
      <c r="K2259">
        <v>1.581697989132316</v>
      </c>
      <c r="L2259">
        <v>14.747516699546603</v>
      </c>
      <c r="M2259">
        <v>1597.1</v>
      </c>
    </row>
    <row r="2260" spans="1:15" x14ac:dyDescent="0.25">
      <c r="A2260" s="8" t="s">
        <v>462</v>
      </c>
      <c r="B2260" s="1" t="s">
        <v>412</v>
      </c>
      <c r="C2260" s="1">
        <v>2015</v>
      </c>
      <c r="D2260" s="1">
        <v>1</v>
      </c>
      <c r="E2260" s="1">
        <v>1</v>
      </c>
      <c r="F2260" s="1">
        <v>1</v>
      </c>
      <c r="G2260" s="1">
        <v>0</v>
      </c>
      <c r="H2260" s="5">
        <v>1.79</v>
      </c>
      <c r="I2260" s="2">
        <f>1/0.99</f>
        <v>1.0101010101010102</v>
      </c>
      <c r="J2260" s="3">
        <v>30405</v>
      </c>
      <c r="K2260">
        <v>1.581697989132316</v>
      </c>
      <c r="L2260">
        <v>14.747516699546603</v>
      </c>
      <c r="M2260">
        <v>1599.4</v>
      </c>
    </row>
    <row r="2261" spans="1:15" x14ac:dyDescent="0.25">
      <c r="A2261" t="s">
        <v>462</v>
      </c>
      <c r="B2261" s="1" t="s">
        <v>412</v>
      </c>
      <c r="C2261" s="1">
        <v>2016</v>
      </c>
      <c r="D2261" s="1">
        <v>1</v>
      </c>
      <c r="E2261" s="1">
        <v>1</v>
      </c>
      <c r="F2261" s="1">
        <v>1</v>
      </c>
      <c r="G2261" s="1">
        <v>0</v>
      </c>
      <c r="H2261" s="5">
        <v>0.84</v>
      </c>
      <c r="I2261" s="2">
        <f>1/1.06</f>
        <v>0.94339622641509424</v>
      </c>
      <c r="J2261" s="6">
        <v>28893</v>
      </c>
      <c r="K2261" s="7">
        <v>1.581697989132316</v>
      </c>
      <c r="L2261" s="7">
        <v>14.747516699546603</v>
      </c>
      <c r="M2261">
        <v>1594.4</v>
      </c>
      <c r="O2261" s="7"/>
    </row>
    <row r="2262" spans="1:15" x14ac:dyDescent="0.25">
      <c r="A2262" t="s">
        <v>462</v>
      </c>
      <c r="B2262" s="1" t="s">
        <v>412</v>
      </c>
      <c r="C2262" s="1">
        <v>2017</v>
      </c>
      <c r="D2262" s="1">
        <v>1</v>
      </c>
      <c r="E2262" s="1">
        <v>1</v>
      </c>
      <c r="F2262" s="1">
        <v>1</v>
      </c>
      <c r="G2262" s="1">
        <v>0</v>
      </c>
      <c r="H2262" s="5">
        <v>1.04</v>
      </c>
      <c r="I2262" s="2">
        <f>1/0.86</f>
        <v>1.1627906976744187</v>
      </c>
      <c r="J2262">
        <v>30620</v>
      </c>
      <c r="K2262">
        <v>1.581697989132316</v>
      </c>
      <c r="L2262">
        <v>14.747516699546603</v>
      </c>
      <c r="M2262">
        <v>1610.7</v>
      </c>
    </row>
    <row r="2263" spans="1:15" x14ac:dyDescent="0.25">
      <c r="A2263" s="8" t="s">
        <v>462</v>
      </c>
      <c r="B2263" s="1" t="s">
        <v>412</v>
      </c>
      <c r="C2263" s="1">
        <v>2018</v>
      </c>
      <c r="D2263" s="1">
        <v>1</v>
      </c>
      <c r="E2263" s="1">
        <v>1</v>
      </c>
      <c r="F2263" s="1">
        <v>1</v>
      </c>
      <c r="G2263" s="1">
        <v>0</v>
      </c>
      <c r="H2263" s="5">
        <v>0.81</v>
      </c>
      <c r="I2263" s="2">
        <f>1/1.02</f>
        <v>0.98039215686274506</v>
      </c>
      <c r="J2263" s="3">
        <v>30868</v>
      </c>
      <c r="K2263">
        <v>1.581697989132316</v>
      </c>
      <c r="L2263">
        <v>14.747516699546603</v>
      </c>
      <c r="M2263">
        <v>1623.8</v>
      </c>
    </row>
    <row r="2264" spans="1:15" x14ac:dyDescent="0.25">
      <c r="A2264" s="8" t="s">
        <v>463</v>
      </c>
      <c r="B2264" s="1" t="s">
        <v>412</v>
      </c>
      <c r="C2264" s="1">
        <v>2014</v>
      </c>
      <c r="D2264" s="1">
        <v>2</v>
      </c>
      <c r="E2264" s="1">
        <v>3</v>
      </c>
      <c r="F2264" s="1">
        <v>2.5</v>
      </c>
      <c r="G2264" s="1">
        <v>1</v>
      </c>
      <c r="H2264" s="5">
        <v>1.18</v>
      </c>
      <c r="I2264" s="2">
        <f>1/1.15</f>
        <v>0.86956521739130443</v>
      </c>
      <c r="J2264" s="3">
        <v>5356</v>
      </c>
      <c r="K2264">
        <v>1.8206209275584515</v>
      </c>
      <c r="L2264">
        <v>7.8190877730931394</v>
      </c>
      <c r="M2264">
        <v>1.7</v>
      </c>
    </row>
    <row r="2265" spans="1:15" x14ac:dyDescent="0.25">
      <c r="A2265" s="8" t="s">
        <v>463</v>
      </c>
      <c r="B2265" s="1" t="s">
        <v>412</v>
      </c>
      <c r="C2265" s="1">
        <v>2015</v>
      </c>
      <c r="D2265" s="1">
        <v>2</v>
      </c>
      <c r="E2265" s="1">
        <v>3</v>
      </c>
      <c r="F2265" s="1">
        <v>2.5</v>
      </c>
      <c r="G2265" s="1">
        <v>1</v>
      </c>
      <c r="H2265" s="5">
        <v>0.89</v>
      </c>
      <c r="I2265" s="2">
        <f>1/0.91</f>
        <v>1.0989010989010988</v>
      </c>
      <c r="J2265" s="3">
        <v>5351</v>
      </c>
      <c r="K2265">
        <v>1.8206209275584515</v>
      </c>
      <c r="L2265">
        <v>7.8190877730931394</v>
      </c>
      <c r="M2265">
        <v>1.7</v>
      </c>
    </row>
    <row r="2266" spans="1:15" x14ac:dyDescent="0.25">
      <c r="A2266" t="s">
        <v>463</v>
      </c>
      <c r="B2266" s="1" t="s">
        <v>412</v>
      </c>
      <c r="C2266" s="1">
        <v>2016</v>
      </c>
      <c r="D2266" s="1">
        <v>2</v>
      </c>
      <c r="E2266" s="1">
        <v>3</v>
      </c>
      <c r="F2266" s="1">
        <v>2.5</v>
      </c>
      <c r="G2266" s="1">
        <v>1</v>
      </c>
      <c r="H2266" s="5">
        <v>1.79</v>
      </c>
      <c r="I2266" s="2">
        <f>1/1.11</f>
        <v>0.9009009009009008</v>
      </c>
      <c r="J2266" s="6">
        <v>5218</v>
      </c>
      <c r="K2266" s="7">
        <v>1.8206209275584515</v>
      </c>
      <c r="L2266" s="7">
        <v>7.8190877730931394</v>
      </c>
      <c r="M2266">
        <v>1.7</v>
      </c>
      <c r="O2266" s="7"/>
    </row>
    <row r="2267" spans="1:15" x14ac:dyDescent="0.25">
      <c r="A2267" t="s">
        <v>463</v>
      </c>
      <c r="B2267" s="1" t="s">
        <v>412</v>
      </c>
      <c r="C2267" s="1">
        <v>2017</v>
      </c>
      <c r="D2267" s="1">
        <v>2</v>
      </c>
      <c r="E2267" s="1">
        <v>3</v>
      </c>
      <c r="F2267" s="1">
        <v>2.5</v>
      </c>
      <c r="G2267" s="1">
        <v>1</v>
      </c>
      <c r="H2267" s="5">
        <v>1</v>
      </c>
      <c r="I2267" s="2">
        <f>1/1.06</f>
        <v>0.94339622641509424</v>
      </c>
      <c r="J2267">
        <v>5305</v>
      </c>
      <c r="K2267">
        <v>1.8206209275584515</v>
      </c>
      <c r="L2267">
        <v>7.8190877730931394</v>
      </c>
      <c r="M2267">
        <v>1.7</v>
      </c>
    </row>
    <row r="2268" spans="1:15" x14ac:dyDescent="0.25">
      <c r="A2268" s="8" t="s">
        <v>463</v>
      </c>
      <c r="B2268" s="1" t="s">
        <v>412</v>
      </c>
      <c r="C2268" s="1">
        <v>2018</v>
      </c>
      <c r="D2268" s="1">
        <v>2</v>
      </c>
      <c r="E2268" s="1">
        <v>3</v>
      </c>
      <c r="F2268" s="1">
        <v>2.5</v>
      </c>
      <c r="G2268" s="1">
        <v>1</v>
      </c>
      <c r="H2268" s="5">
        <v>1.05</v>
      </c>
      <c r="I2268" s="2">
        <f>1/1.33</f>
        <v>0.75187969924812026</v>
      </c>
      <c r="J2268" s="3">
        <v>5258</v>
      </c>
      <c r="K2268">
        <v>1.8206209275584515</v>
      </c>
      <c r="L2268">
        <v>7.8190877730931394</v>
      </c>
      <c r="M2268">
        <v>1.6</v>
      </c>
    </row>
    <row r="2269" spans="1:15" x14ac:dyDescent="0.25">
      <c r="A2269" s="8" t="s">
        <v>464</v>
      </c>
      <c r="B2269" s="1" t="s">
        <v>412</v>
      </c>
      <c r="C2269" s="1">
        <v>2014</v>
      </c>
      <c r="D2269" s="1">
        <v>3</v>
      </c>
      <c r="E2269" s="1">
        <v>4</v>
      </c>
      <c r="F2269" s="1">
        <v>3.5</v>
      </c>
      <c r="G2269" s="1">
        <v>1</v>
      </c>
      <c r="H2269" s="5">
        <v>1.31</v>
      </c>
      <c r="I2269" s="2">
        <f>1/1.07</f>
        <v>0.93457943925233644</v>
      </c>
      <c r="J2269" s="3">
        <v>1275</v>
      </c>
      <c r="K2269">
        <v>8.859721082854799</v>
      </c>
      <c r="L2269">
        <v>5.4963084495488106</v>
      </c>
      <c r="M2269">
        <v>0.3</v>
      </c>
    </row>
    <row r="2270" spans="1:15" x14ac:dyDescent="0.25">
      <c r="A2270" s="8" t="s">
        <v>464</v>
      </c>
      <c r="B2270" s="1" t="s">
        <v>412</v>
      </c>
      <c r="C2270" s="1">
        <v>2015</v>
      </c>
      <c r="D2270" s="1">
        <v>3</v>
      </c>
      <c r="E2270" s="1">
        <v>4</v>
      </c>
      <c r="F2270" s="1">
        <v>3.5</v>
      </c>
      <c r="G2270" s="1">
        <v>1</v>
      </c>
      <c r="H2270" s="5">
        <v>1.19</v>
      </c>
      <c r="I2270" s="2">
        <f>1/0.9</f>
        <v>1.1111111111111112</v>
      </c>
      <c r="J2270" s="3">
        <v>1255</v>
      </c>
      <c r="K2270">
        <v>8.859721082854799</v>
      </c>
      <c r="L2270">
        <v>5.4963084495488106</v>
      </c>
      <c r="M2270">
        <v>0.3</v>
      </c>
    </row>
    <row r="2271" spans="1:15" x14ac:dyDescent="0.25">
      <c r="A2271" t="s">
        <v>464</v>
      </c>
      <c r="B2271" s="1" t="s">
        <v>412</v>
      </c>
      <c r="C2271" s="1">
        <v>2016</v>
      </c>
      <c r="D2271" s="1">
        <v>3</v>
      </c>
      <c r="E2271" s="1">
        <v>4</v>
      </c>
      <c r="F2271" s="1">
        <v>3.5</v>
      </c>
      <c r="G2271" s="1">
        <v>1</v>
      </c>
      <c r="H2271" s="5">
        <v>1.59</v>
      </c>
      <c r="I2271" s="2">
        <f>1/1.41</f>
        <v>0.70921985815602839</v>
      </c>
      <c r="J2271" s="6">
        <v>1219</v>
      </c>
      <c r="K2271" s="7">
        <v>8.859721082854799</v>
      </c>
      <c r="L2271" s="7">
        <v>5.4963084495488106</v>
      </c>
      <c r="M2271">
        <v>0.3</v>
      </c>
      <c r="O2271" s="7"/>
    </row>
    <row r="2272" spans="1:15" x14ac:dyDescent="0.25">
      <c r="A2272" t="s">
        <v>464</v>
      </c>
      <c r="B2272" s="1" t="s">
        <v>412</v>
      </c>
      <c r="C2272" s="1">
        <v>2017</v>
      </c>
      <c r="D2272" s="1">
        <v>3</v>
      </c>
      <c r="E2272" s="1">
        <v>4</v>
      </c>
      <c r="F2272" s="1">
        <v>3.5</v>
      </c>
      <c r="G2272" s="1">
        <v>1</v>
      </c>
      <c r="H2272" s="5">
        <v>0.96</v>
      </c>
      <c r="I2272" s="2">
        <f>1/1.07</f>
        <v>0.93457943925233644</v>
      </c>
      <c r="J2272">
        <v>1213</v>
      </c>
      <c r="K2272">
        <v>8.859721082854799</v>
      </c>
      <c r="L2272">
        <v>5.4963084495488106</v>
      </c>
      <c r="M2272">
        <v>0.3</v>
      </c>
    </row>
    <row r="2273" spans="1:15" x14ac:dyDescent="0.25">
      <c r="A2273" s="8" t="s">
        <v>464</v>
      </c>
      <c r="B2273" s="1" t="s">
        <v>412</v>
      </c>
      <c r="C2273" s="1">
        <v>2018</v>
      </c>
      <c r="D2273" s="1">
        <v>3</v>
      </c>
      <c r="E2273" s="1">
        <v>4</v>
      </c>
      <c r="F2273" s="1">
        <v>3.5</v>
      </c>
      <c r="G2273" s="1">
        <v>1</v>
      </c>
      <c r="H2273" s="5">
        <v>0.65</v>
      </c>
      <c r="I2273" s="2">
        <f>1/1.1</f>
        <v>0.90909090909090906</v>
      </c>
      <c r="J2273" s="3">
        <v>1207</v>
      </c>
      <c r="K2273">
        <v>8.859721082854799</v>
      </c>
      <c r="L2273">
        <v>5.4963084495488106</v>
      </c>
      <c r="M2273">
        <v>0.3</v>
      </c>
    </row>
    <row r="2274" spans="1:15" x14ac:dyDescent="0.25">
      <c r="A2274" s="8" t="s">
        <v>465</v>
      </c>
      <c r="B2274" s="1" t="s">
        <v>412</v>
      </c>
      <c r="C2274" s="1">
        <v>2014</v>
      </c>
      <c r="D2274" s="1">
        <v>3</v>
      </c>
      <c r="E2274" s="1">
        <v>3</v>
      </c>
      <c r="F2274" s="1">
        <v>3</v>
      </c>
      <c r="G2274" s="1">
        <v>0</v>
      </c>
      <c r="H2274" s="5">
        <v>1.34</v>
      </c>
      <c r="I2274" s="2">
        <f>1/1.38</f>
        <v>0.7246376811594204</v>
      </c>
      <c r="J2274" s="3">
        <v>1044</v>
      </c>
      <c r="K2274">
        <v>3.8610038610038608</v>
      </c>
      <c r="L2274">
        <v>1.2548262548262548</v>
      </c>
      <c r="M2274">
        <v>0.6</v>
      </c>
    </row>
    <row r="2275" spans="1:15" x14ac:dyDescent="0.25">
      <c r="A2275" s="8" t="s">
        <v>465</v>
      </c>
      <c r="B2275" s="1" t="s">
        <v>412</v>
      </c>
      <c r="C2275" s="1">
        <v>2015</v>
      </c>
      <c r="D2275" s="1">
        <v>3</v>
      </c>
      <c r="E2275" s="1">
        <v>3</v>
      </c>
      <c r="F2275" s="1">
        <v>3</v>
      </c>
      <c r="G2275" s="1">
        <v>0</v>
      </c>
      <c r="H2275" s="5">
        <v>1.36</v>
      </c>
      <c r="I2275" s="2">
        <f>1/1.07</f>
        <v>0.93457943925233644</v>
      </c>
      <c r="J2275" s="3">
        <v>1050</v>
      </c>
      <c r="K2275">
        <v>3.8610038610038608</v>
      </c>
      <c r="L2275">
        <v>1.2548262548262548</v>
      </c>
      <c r="M2275">
        <v>0.6</v>
      </c>
    </row>
    <row r="2276" spans="1:15" x14ac:dyDescent="0.25">
      <c r="A2276" t="s">
        <v>465</v>
      </c>
      <c r="B2276" s="1" t="s">
        <v>412</v>
      </c>
      <c r="C2276" s="1">
        <v>2016</v>
      </c>
      <c r="D2276" s="1">
        <v>3</v>
      </c>
      <c r="E2276" s="1">
        <v>3</v>
      </c>
      <c r="F2276" s="1">
        <v>3</v>
      </c>
      <c r="G2276" s="1">
        <v>0</v>
      </c>
      <c r="H2276" s="5">
        <v>1.17</v>
      </c>
      <c r="I2276" s="2">
        <f>1/1.5</f>
        <v>0.66666666666666663</v>
      </c>
      <c r="J2276" s="6">
        <v>1036</v>
      </c>
      <c r="K2276" s="7">
        <v>3.8610038610038608</v>
      </c>
      <c r="L2276" s="7">
        <v>1.2548262548262548</v>
      </c>
      <c r="M2276">
        <v>0.6</v>
      </c>
      <c r="O2276" s="7"/>
    </row>
    <row r="2277" spans="1:15" x14ac:dyDescent="0.25">
      <c r="A2277" t="s">
        <v>465</v>
      </c>
      <c r="B2277" s="1" t="s">
        <v>412</v>
      </c>
      <c r="C2277" s="1">
        <v>2017</v>
      </c>
      <c r="D2277" s="1">
        <v>3</v>
      </c>
      <c r="E2277" s="1">
        <v>3</v>
      </c>
      <c r="F2277" s="1">
        <v>3</v>
      </c>
      <c r="G2277" s="1">
        <v>0</v>
      </c>
      <c r="H2277" s="5">
        <v>1.02</v>
      </c>
      <c r="I2277" s="2">
        <f>1/1.1</f>
        <v>0.90909090909090906</v>
      </c>
      <c r="J2277">
        <v>1033</v>
      </c>
      <c r="K2277">
        <v>3.8610038610038608</v>
      </c>
      <c r="L2277">
        <v>1.2548262548262548</v>
      </c>
      <c r="M2277">
        <v>0.6</v>
      </c>
    </row>
    <row r="2278" spans="1:15" x14ac:dyDescent="0.25">
      <c r="A2278" s="8" t="s">
        <v>465</v>
      </c>
      <c r="B2278" s="1" t="s">
        <v>412</v>
      </c>
      <c r="C2278" s="1">
        <v>2018</v>
      </c>
      <c r="D2278" s="1">
        <v>3</v>
      </c>
      <c r="E2278" s="1">
        <v>3</v>
      </c>
      <c r="F2278" s="1">
        <v>3</v>
      </c>
      <c r="G2278" s="1">
        <v>0</v>
      </c>
      <c r="H2278" s="5">
        <v>1.06</v>
      </c>
      <c r="I2278" s="2">
        <f>1/1.24</f>
        <v>0.80645161290322587</v>
      </c>
      <c r="J2278" s="3">
        <v>1011</v>
      </c>
      <c r="K2278">
        <v>3.8610038610038608</v>
      </c>
      <c r="L2278">
        <v>1.2548262548262548</v>
      </c>
      <c r="M2278">
        <v>0.6</v>
      </c>
    </row>
    <row r="2279" spans="1:15" x14ac:dyDescent="0.25">
      <c r="A2279" s="8" t="s">
        <v>466</v>
      </c>
      <c r="B2279" s="1" t="s">
        <v>412</v>
      </c>
      <c r="C2279" s="1">
        <v>2014</v>
      </c>
      <c r="D2279" s="1">
        <v>1</v>
      </c>
      <c r="E2279" s="1">
        <v>1</v>
      </c>
      <c r="F2279" s="1">
        <v>1</v>
      </c>
      <c r="G2279" s="1">
        <v>0</v>
      </c>
      <c r="H2279" s="5">
        <v>0.74</v>
      </c>
      <c r="I2279" s="2">
        <f>1/1.15</f>
        <v>0.86956521739130443</v>
      </c>
      <c r="J2279" s="3">
        <v>120756</v>
      </c>
      <c r="K2279">
        <v>2.3307614780686525</v>
      </c>
      <c r="L2279">
        <v>31.971746292547831</v>
      </c>
      <c r="M2279">
        <v>948.6</v>
      </c>
    </row>
    <row r="2280" spans="1:15" x14ac:dyDescent="0.25">
      <c r="A2280" s="8" t="s">
        <v>466</v>
      </c>
      <c r="B2280" s="1" t="s">
        <v>412</v>
      </c>
      <c r="C2280" s="1">
        <v>2015</v>
      </c>
      <c r="D2280" s="1">
        <v>1</v>
      </c>
      <c r="E2280" s="1">
        <v>1</v>
      </c>
      <c r="F2280" s="1">
        <v>1</v>
      </c>
      <c r="G2280" s="1">
        <v>0</v>
      </c>
      <c r="H2280" s="5">
        <v>0.77</v>
      </c>
      <c r="I2280" s="2">
        <f>1/0.89</f>
        <v>1.1235955056179776</v>
      </c>
      <c r="J2280" s="3">
        <v>121720</v>
      </c>
      <c r="K2280">
        <v>2.3307614780686525</v>
      </c>
      <c r="L2280">
        <v>31.971746292547831</v>
      </c>
      <c r="M2280">
        <v>956.2</v>
      </c>
    </row>
    <row r="2281" spans="1:15" x14ac:dyDescent="0.25">
      <c r="A2281" t="s">
        <v>466</v>
      </c>
      <c r="B2281" s="1" t="s">
        <v>412</v>
      </c>
      <c r="C2281" s="1">
        <v>2016</v>
      </c>
      <c r="D2281" s="1">
        <v>1</v>
      </c>
      <c r="E2281" s="1">
        <v>1</v>
      </c>
      <c r="F2281" s="1">
        <v>1</v>
      </c>
      <c r="G2281" s="1">
        <v>0</v>
      </c>
      <c r="H2281" s="5">
        <v>0.73</v>
      </c>
      <c r="I2281" s="2">
        <f>1/1.11</f>
        <v>0.9009009009009008</v>
      </c>
      <c r="J2281" s="6">
        <v>118073</v>
      </c>
      <c r="K2281" s="7">
        <v>2.3307614780686525</v>
      </c>
      <c r="L2281" s="7">
        <v>31.971746292547831</v>
      </c>
      <c r="M2281">
        <v>958.5</v>
      </c>
      <c r="O2281" s="7"/>
    </row>
    <row r="2282" spans="1:15" x14ac:dyDescent="0.25">
      <c r="A2282" t="s">
        <v>466</v>
      </c>
      <c r="B2282" s="1" t="s">
        <v>412</v>
      </c>
      <c r="C2282" s="1">
        <v>2017</v>
      </c>
      <c r="D2282" s="1">
        <v>1</v>
      </c>
      <c r="E2282" s="1">
        <v>1</v>
      </c>
      <c r="F2282" s="1">
        <v>1</v>
      </c>
      <c r="G2282" s="1">
        <v>0</v>
      </c>
      <c r="H2282" s="5">
        <v>0.73</v>
      </c>
      <c r="I2282" s="2">
        <f>1/1.02</f>
        <v>0.98039215686274506</v>
      </c>
      <c r="J2282">
        <v>122847</v>
      </c>
      <c r="K2282">
        <v>2.3307614780686525</v>
      </c>
      <c r="L2282">
        <v>31.971746292547831</v>
      </c>
      <c r="M2282">
        <v>965</v>
      </c>
    </row>
    <row r="2283" spans="1:15" x14ac:dyDescent="0.25">
      <c r="A2283" s="8" t="s">
        <v>466</v>
      </c>
      <c r="B2283" s="1" t="s">
        <v>412</v>
      </c>
      <c r="C2283" s="1">
        <v>2018</v>
      </c>
      <c r="D2283" s="1">
        <v>1</v>
      </c>
      <c r="E2283" s="1">
        <v>1</v>
      </c>
      <c r="F2283" s="1">
        <v>1</v>
      </c>
      <c r="G2283" s="1">
        <v>0</v>
      </c>
      <c r="H2283" s="5">
        <v>0.73</v>
      </c>
      <c r="I2283" s="2">
        <f>1/1.13</f>
        <v>0.88495575221238942</v>
      </c>
      <c r="J2283" s="3">
        <v>123325</v>
      </c>
      <c r="K2283">
        <v>2.3307614780686525</v>
      </c>
      <c r="L2283">
        <v>31.971746292547831</v>
      </c>
      <c r="M2283">
        <v>968.8</v>
      </c>
    </row>
    <row r="2284" spans="1:15" x14ac:dyDescent="0.25">
      <c r="A2284" s="8" t="s">
        <v>467</v>
      </c>
      <c r="B2284" s="1" t="s">
        <v>412</v>
      </c>
      <c r="C2284" s="1">
        <v>2014</v>
      </c>
      <c r="D2284" s="1">
        <v>3</v>
      </c>
      <c r="E2284" s="1">
        <v>4</v>
      </c>
      <c r="F2284" s="1">
        <v>3.5</v>
      </c>
      <c r="G2284" s="1">
        <v>1</v>
      </c>
      <c r="H2284" s="5">
        <v>0.77</v>
      </c>
      <c r="I2284" s="2">
        <f>100/111</f>
        <v>0.90090090090090091</v>
      </c>
      <c r="J2284" s="3">
        <v>40114</v>
      </c>
      <c r="K2284">
        <v>9.7069786705322016</v>
      </c>
      <c r="L2284">
        <v>7.356595568440671</v>
      </c>
      <c r="M2284">
        <v>4</v>
      </c>
    </row>
    <row r="2285" spans="1:15" x14ac:dyDescent="0.25">
      <c r="A2285" s="8" t="s">
        <v>467</v>
      </c>
      <c r="B2285" s="1" t="s">
        <v>412</v>
      </c>
      <c r="C2285" s="1">
        <v>2015</v>
      </c>
      <c r="D2285" s="1">
        <v>3</v>
      </c>
      <c r="E2285" s="1">
        <v>4</v>
      </c>
      <c r="F2285" s="1">
        <v>3.5</v>
      </c>
      <c r="G2285" s="1">
        <v>1</v>
      </c>
      <c r="H2285" s="5">
        <v>0.65</v>
      </c>
      <c r="I2285" s="2">
        <f>100/98</f>
        <v>1.0204081632653061</v>
      </c>
      <c r="J2285" s="3">
        <v>39958</v>
      </c>
      <c r="K2285">
        <v>9.7069786705322016</v>
      </c>
      <c r="L2285">
        <v>7.356595568440671</v>
      </c>
      <c r="M2285">
        <v>4</v>
      </c>
    </row>
    <row r="2286" spans="1:15" x14ac:dyDescent="0.25">
      <c r="A2286" t="s">
        <v>467</v>
      </c>
      <c r="B2286" s="1" t="s">
        <v>412</v>
      </c>
      <c r="C2286" s="1">
        <v>2016</v>
      </c>
      <c r="D2286" s="1">
        <v>3</v>
      </c>
      <c r="E2286" s="1">
        <v>4</v>
      </c>
      <c r="F2286" s="1">
        <v>3.5</v>
      </c>
      <c r="G2286" s="1">
        <v>1</v>
      </c>
      <c r="H2286" s="5">
        <v>0.64</v>
      </c>
      <c r="I2286" s="2">
        <f>100/113</f>
        <v>0.88495575221238942</v>
      </c>
      <c r="J2286" s="6">
        <v>38632</v>
      </c>
      <c r="K2286" s="7">
        <v>9.7069786705322016</v>
      </c>
      <c r="L2286" s="7">
        <v>7.356595568440671</v>
      </c>
      <c r="M2286">
        <v>4</v>
      </c>
      <c r="O2286" s="7"/>
    </row>
    <row r="2287" spans="1:15" x14ac:dyDescent="0.25">
      <c r="A2287" t="s">
        <v>467</v>
      </c>
      <c r="B2287" s="1" t="s">
        <v>412</v>
      </c>
      <c r="C2287" s="1">
        <v>2017</v>
      </c>
      <c r="D2287" s="1">
        <v>3</v>
      </c>
      <c r="E2287" s="1">
        <v>4</v>
      </c>
      <c r="F2287" s="1">
        <v>3.5</v>
      </c>
      <c r="G2287" s="1">
        <v>1</v>
      </c>
      <c r="H2287" s="5">
        <v>0.77</v>
      </c>
      <c r="I2287" s="5">
        <v>8</v>
      </c>
      <c r="J2287">
        <v>39092</v>
      </c>
      <c r="K2287">
        <v>9.7069786705322016</v>
      </c>
      <c r="L2287">
        <v>7.356595568440671</v>
      </c>
      <c r="M2287">
        <v>3.9</v>
      </c>
    </row>
    <row r="2288" spans="1:15" x14ac:dyDescent="0.25">
      <c r="A2288" s="8" t="s">
        <v>467</v>
      </c>
      <c r="B2288" s="1" t="s">
        <v>412</v>
      </c>
      <c r="C2288" s="1">
        <v>2018</v>
      </c>
      <c r="D2288" s="1">
        <v>3</v>
      </c>
      <c r="E2288" s="1">
        <v>4</v>
      </c>
      <c r="F2288" s="1">
        <v>3.5</v>
      </c>
      <c r="G2288" s="1">
        <v>1</v>
      </c>
      <c r="H2288" s="5">
        <v>0.89</v>
      </c>
      <c r="I2288" s="5">
        <v>0.8</v>
      </c>
      <c r="J2288" s="3">
        <v>38738</v>
      </c>
      <c r="K2288">
        <v>9.7069786705322016</v>
      </c>
      <c r="L2288">
        <v>7.356595568440671</v>
      </c>
      <c r="M2288">
        <v>3.9</v>
      </c>
    </row>
    <row r="2289" spans="1:15" x14ac:dyDescent="0.25">
      <c r="A2289" s="8" t="s">
        <v>468</v>
      </c>
      <c r="B2289" s="1" t="s">
        <v>412</v>
      </c>
      <c r="C2289" s="1">
        <v>2014</v>
      </c>
      <c r="D2289" s="1">
        <v>5</v>
      </c>
      <c r="E2289" s="1">
        <v>5</v>
      </c>
      <c r="F2289" s="1">
        <v>5</v>
      </c>
      <c r="G2289" s="1">
        <v>0</v>
      </c>
      <c r="H2289" s="5">
        <v>0.75</v>
      </c>
      <c r="I2289" s="2">
        <f>1/2.75</f>
        <v>0.36363636363636365</v>
      </c>
      <c r="J2289" s="3">
        <v>3734</v>
      </c>
      <c r="K2289">
        <v>74.104683195592287</v>
      </c>
      <c r="L2289">
        <v>35.322926232017146</v>
      </c>
      <c r="M2289">
        <v>0</v>
      </c>
    </row>
    <row r="2290" spans="1:15" x14ac:dyDescent="0.25">
      <c r="A2290" s="8" t="s">
        <v>468</v>
      </c>
      <c r="B2290" s="1" t="s">
        <v>412</v>
      </c>
      <c r="C2290" s="1">
        <v>2015</v>
      </c>
      <c r="D2290" s="1">
        <v>5</v>
      </c>
      <c r="E2290" s="1">
        <v>5</v>
      </c>
      <c r="F2290" s="1">
        <v>5</v>
      </c>
      <c r="G2290" s="1">
        <v>0</v>
      </c>
      <c r="H2290" s="5">
        <v>1.35</v>
      </c>
      <c r="I2290" s="2">
        <f>1/1.46</f>
        <v>0.68493150684931503</v>
      </c>
      <c r="J2290" s="3">
        <v>3656</v>
      </c>
      <c r="K2290">
        <v>74.104683195592287</v>
      </c>
      <c r="L2290">
        <v>35.322926232017146</v>
      </c>
      <c r="M2290">
        <v>0</v>
      </c>
    </row>
    <row r="2291" spans="1:15" x14ac:dyDescent="0.25">
      <c r="A2291" t="s">
        <v>468</v>
      </c>
      <c r="B2291" s="1" t="s">
        <v>412</v>
      </c>
      <c r="C2291" s="1">
        <v>2016</v>
      </c>
      <c r="D2291" s="1">
        <v>5</v>
      </c>
      <c r="E2291" s="1">
        <v>5</v>
      </c>
      <c r="F2291" s="1">
        <v>5</v>
      </c>
      <c r="G2291" s="1">
        <v>0</v>
      </c>
      <c r="H2291" s="5">
        <v>0.59</v>
      </c>
      <c r="I2291" s="2">
        <f>1/2.36</f>
        <v>0.42372881355932207</v>
      </c>
      <c r="J2291" s="6">
        <v>3267</v>
      </c>
      <c r="K2291" s="7">
        <v>74.104683195592287</v>
      </c>
      <c r="L2291" s="7">
        <v>35.322926232017146</v>
      </c>
      <c r="M2291">
        <v>0</v>
      </c>
      <c r="O2291" s="7"/>
    </row>
    <row r="2292" spans="1:15" x14ac:dyDescent="0.25">
      <c r="A2292" t="s">
        <v>468</v>
      </c>
      <c r="B2292" s="1" t="s">
        <v>412</v>
      </c>
      <c r="C2292" s="1">
        <v>2017</v>
      </c>
      <c r="D2292" s="1">
        <v>5</v>
      </c>
      <c r="E2292" s="1">
        <v>5</v>
      </c>
      <c r="F2292" s="1">
        <v>5</v>
      </c>
      <c r="G2292" s="1">
        <v>0</v>
      </c>
      <c r="H2292" s="5">
        <v>0.69</v>
      </c>
      <c r="I2292" s="2">
        <f>1/1.34</f>
        <v>0.74626865671641784</v>
      </c>
      <c r="J2292">
        <v>3503</v>
      </c>
      <c r="K2292">
        <v>74.104683195592287</v>
      </c>
      <c r="L2292">
        <v>35.322926232017146</v>
      </c>
      <c r="M2292">
        <v>0</v>
      </c>
    </row>
    <row r="2293" spans="1:15" x14ac:dyDescent="0.25">
      <c r="A2293" s="8" t="s">
        <v>468</v>
      </c>
      <c r="B2293" s="1" t="s">
        <v>412</v>
      </c>
      <c r="C2293" s="1">
        <v>2018</v>
      </c>
      <c r="D2293" s="1">
        <v>5</v>
      </c>
      <c r="E2293" s="1">
        <v>5</v>
      </c>
      <c r="F2293" s="1">
        <v>5</v>
      </c>
      <c r="G2293" s="1">
        <v>0</v>
      </c>
      <c r="H2293" s="5">
        <v>0.4</v>
      </c>
      <c r="I2293" s="2">
        <f>1/2.19</f>
        <v>0.45662100456621008</v>
      </c>
      <c r="J2293" s="3">
        <v>3490</v>
      </c>
      <c r="K2293">
        <v>74.104683195592287</v>
      </c>
      <c r="L2293">
        <v>35.322926232017146</v>
      </c>
      <c r="M2293">
        <v>0</v>
      </c>
    </row>
    <row r="2294" spans="1:15" x14ac:dyDescent="0.25">
      <c r="A2294" s="8" t="s">
        <v>469</v>
      </c>
      <c r="B2294" s="1" t="s">
        <v>412</v>
      </c>
      <c r="C2294" s="1">
        <v>2014</v>
      </c>
      <c r="D2294" s="1">
        <v>2</v>
      </c>
      <c r="E2294" s="1">
        <v>2</v>
      </c>
      <c r="F2294" s="1">
        <v>2</v>
      </c>
      <c r="G2294" s="1">
        <v>0</v>
      </c>
      <c r="H2294" s="5">
        <v>1.37</v>
      </c>
      <c r="I2294" s="5">
        <v>1</v>
      </c>
      <c r="J2294" s="3">
        <v>26186</v>
      </c>
      <c r="K2294">
        <v>2.2185393046819089</v>
      </c>
      <c r="L2294">
        <v>6.7422501789144604</v>
      </c>
      <c r="M2294">
        <v>15.2</v>
      </c>
    </row>
    <row r="2295" spans="1:15" x14ac:dyDescent="0.25">
      <c r="A2295" s="8" t="s">
        <v>469</v>
      </c>
      <c r="B2295" s="1" t="s">
        <v>412</v>
      </c>
      <c r="C2295" s="1">
        <v>2015</v>
      </c>
      <c r="D2295" s="1">
        <v>2</v>
      </c>
      <c r="E2295" s="1">
        <v>2</v>
      </c>
      <c r="F2295" s="1">
        <v>2</v>
      </c>
      <c r="G2295" s="1">
        <v>0</v>
      </c>
      <c r="H2295" s="5">
        <v>1.17</v>
      </c>
      <c r="I2295" s="2">
        <f>1/0.98</f>
        <v>1.0204081632653061</v>
      </c>
      <c r="J2295" s="3">
        <v>26656</v>
      </c>
      <c r="K2295">
        <v>2.2185393046819089</v>
      </c>
      <c r="L2295">
        <v>6.7422501789144604</v>
      </c>
      <c r="M2295">
        <v>15.4</v>
      </c>
    </row>
    <row r="2296" spans="1:15" x14ac:dyDescent="0.25">
      <c r="A2296" t="s">
        <v>469</v>
      </c>
      <c r="B2296" s="1" t="s">
        <v>412</v>
      </c>
      <c r="C2296" s="1">
        <v>2016</v>
      </c>
      <c r="D2296" s="1">
        <v>2</v>
      </c>
      <c r="E2296" s="1">
        <v>2</v>
      </c>
      <c r="F2296" s="1">
        <v>2</v>
      </c>
      <c r="G2296" s="1">
        <v>0</v>
      </c>
      <c r="H2296" s="5">
        <v>1.19</v>
      </c>
      <c r="I2296" s="2">
        <f>1/0.96</f>
        <v>1.0416666666666667</v>
      </c>
      <c r="J2296" s="6">
        <v>26549</v>
      </c>
      <c r="K2296" s="7">
        <v>2.2185393046819089</v>
      </c>
      <c r="L2296" s="7">
        <v>6.7422501789144604</v>
      </c>
      <c r="M2296">
        <v>15.6</v>
      </c>
      <c r="O2296" s="7"/>
    </row>
    <row r="2297" spans="1:15" x14ac:dyDescent="0.25">
      <c r="A2297" t="s">
        <v>469</v>
      </c>
      <c r="B2297" s="1" t="s">
        <v>412</v>
      </c>
      <c r="C2297" s="1">
        <v>2017</v>
      </c>
      <c r="D2297" s="1">
        <v>2</v>
      </c>
      <c r="E2297" s="1">
        <v>2</v>
      </c>
      <c r="F2297" s="1">
        <v>2</v>
      </c>
      <c r="G2297" s="1">
        <v>0</v>
      </c>
      <c r="H2297" s="5">
        <v>1.52</v>
      </c>
      <c r="I2297" s="2">
        <f>1/0.97</f>
        <v>1.0309278350515465</v>
      </c>
      <c r="J2297">
        <v>27253</v>
      </c>
      <c r="K2297">
        <v>2.2185393046819089</v>
      </c>
      <c r="L2297">
        <v>6.7422501789144604</v>
      </c>
      <c r="M2297">
        <v>15.8</v>
      </c>
    </row>
    <row r="2298" spans="1:15" x14ac:dyDescent="0.25">
      <c r="A2298" s="8" t="s">
        <v>469</v>
      </c>
      <c r="B2298" s="1" t="s">
        <v>412</v>
      </c>
      <c r="C2298" s="1">
        <v>2018</v>
      </c>
      <c r="D2298" s="1">
        <v>2</v>
      </c>
      <c r="E2298" s="1">
        <v>2</v>
      </c>
      <c r="F2298" s="1">
        <v>2</v>
      </c>
      <c r="G2298" s="1">
        <v>0</v>
      </c>
      <c r="H2298" s="5">
        <v>1.61</v>
      </c>
      <c r="I2298" s="2">
        <f>1/0.96</f>
        <v>1.0416666666666667</v>
      </c>
      <c r="J2298" s="3">
        <v>27798</v>
      </c>
      <c r="K2298">
        <v>2.2185393046819089</v>
      </c>
      <c r="L2298">
        <v>6.7422501789144604</v>
      </c>
      <c r="M2298">
        <v>16.100000000000001</v>
      </c>
    </row>
    <row r="2299" spans="1:15" x14ac:dyDescent="0.25">
      <c r="A2299" s="8" t="s">
        <v>470</v>
      </c>
      <c r="B2299" s="1" t="s">
        <v>412</v>
      </c>
      <c r="C2299" s="1">
        <v>2014</v>
      </c>
      <c r="D2299" s="1">
        <v>3</v>
      </c>
      <c r="E2299" s="1">
        <v>3</v>
      </c>
      <c r="F2299" s="1">
        <v>3</v>
      </c>
      <c r="G2299" s="1">
        <v>0</v>
      </c>
      <c r="H2299" s="5">
        <v>1.2</v>
      </c>
      <c r="I2299" s="2">
        <f>1/1.17</f>
        <v>0.85470085470085477</v>
      </c>
      <c r="J2299" s="3">
        <v>3702</v>
      </c>
      <c r="K2299">
        <v>2.3255813953488373</v>
      </c>
      <c r="L2299">
        <v>1.8212384421406558</v>
      </c>
      <c r="M2299">
        <v>1.6</v>
      </c>
    </row>
    <row r="2300" spans="1:15" x14ac:dyDescent="0.25">
      <c r="A2300" s="8" t="s">
        <v>470</v>
      </c>
      <c r="B2300" s="1" t="s">
        <v>412</v>
      </c>
      <c r="C2300" s="1">
        <v>2015</v>
      </c>
      <c r="D2300" s="1">
        <v>3</v>
      </c>
      <c r="E2300" s="1">
        <v>3</v>
      </c>
      <c r="F2300" s="1">
        <v>3</v>
      </c>
      <c r="G2300" s="1">
        <v>0</v>
      </c>
      <c r="H2300" s="5">
        <v>1.58</v>
      </c>
      <c r="I2300" s="2">
        <f>1/1.04</f>
        <v>0.96153846153846145</v>
      </c>
      <c r="J2300" s="3">
        <v>3662</v>
      </c>
      <c r="K2300">
        <v>2.3255813953488373</v>
      </c>
      <c r="L2300">
        <v>1.8212384421406558</v>
      </c>
      <c r="M2300">
        <v>1.5</v>
      </c>
    </row>
    <row r="2301" spans="1:15" x14ac:dyDescent="0.25">
      <c r="A2301" t="s">
        <v>470</v>
      </c>
      <c r="B2301" s="1" t="s">
        <v>412</v>
      </c>
      <c r="C2301" s="1">
        <v>2016</v>
      </c>
      <c r="D2301" s="1">
        <v>3</v>
      </c>
      <c r="E2301" s="1">
        <v>3</v>
      </c>
      <c r="F2301" s="1">
        <v>3</v>
      </c>
      <c r="G2301" s="1">
        <v>0</v>
      </c>
      <c r="H2301" s="5">
        <v>0.94</v>
      </c>
      <c r="I2301" s="2">
        <f>1/1.19</f>
        <v>0.84033613445378152</v>
      </c>
      <c r="J2301" s="6">
        <v>3569</v>
      </c>
      <c r="K2301" s="7">
        <v>2.3255813953488373</v>
      </c>
      <c r="L2301" s="7">
        <v>1.8212384421406558</v>
      </c>
      <c r="M2301">
        <v>1.5</v>
      </c>
      <c r="O2301" s="7"/>
    </row>
    <row r="2302" spans="1:15" x14ac:dyDescent="0.25">
      <c r="A2302" t="s">
        <v>470</v>
      </c>
      <c r="B2302" s="1" t="s">
        <v>412</v>
      </c>
      <c r="C2302" s="1">
        <v>2017</v>
      </c>
      <c r="D2302" s="1">
        <v>3</v>
      </c>
      <c r="E2302" s="1">
        <v>3</v>
      </c>
      <c r="F2302" s="1">
        <v>3</v>
      </c>
      <c r="G2302" s="1">
        <v>0</v>
      </c>
      <c r="H2302" s="5">
        <v>0.8</v>
      </c>
      <c r="I2302" s="2">
        <f>1/1.33</f>
        <v>0.75187969924812026</v>
      </c>
      <c r="J2302">
        <v>3602</v>
      </c>
      <c r="K2302">
        <v>2.3255813953488373</v>
      </c>
      <c r="L2302">
        <v>1.8212384421406558</v>
      </c>
      <c r="M2302">
        <v>1.5</v>
      </c>
    </row>
    <row r="2303" spans="1:15" x14ac:dyDescent="0.25">
      <c r="A2303" s="8" t="s">
        <v>470</v>
      </c>
      <c r="B2303" s="1" t="s">
        <v>412</v>
      </c>
      <c r="C2303" s="1">
        <v>2018</v>
      </c>
      <c r="D2303" s="1">
        <v>3</v>
      </c>
      <c r="E2303" s="1">
        <v>3</v>
      </c>
      <c r="F2303" s="1">
        <v>3</v>
      </c>
      <c r="G2303" s="1">
        <v>0</v>
      </c>
      <c r="H2303" s="5">
        <v>0.36</v>
      </c>
      <c r="I2303" s="2">
        <f>1/1.51</f>
        <v>0.66225165562913912</v>
      </c>
      <c r="J2303" s="3">
        <v>3560</v>
      </c>
      <c r="K2303">
        <v>2.3255813953488373</v>
      </c>
      <c r="L2303">
        <v>1.8212384421406558</v>
      </c>
      <c r="M2303">
        <v>1.5</v>
      </c>
    </row>
    <row r="2304" spans="1:15" x14ac:dyDescent="0.25">
      <c r="A2304" s="8" t="s">
        <v>471</v>
      </c>
      <c r="B2304" s="1" t="s">
        <v>412</v>
      </c>
      <c r="C2304" s="1">
        <v>2014</v>
      </c>
      <c r="D2304" s="1">
        <v>4</v>
      </c>
      <c r="E2304" s="1">
        <v>4</v>
      </c>
      <c r="F2304" s="1">
        <v>4</v>
      </c>
      <c r="G2304" s="1">
        <v>0</v>
      </c>
      <c r="H2304" s="5">
        <v>1.02</v>
      </c>
      <c r="I2304" s="2">
        <f>1/1.2</f>
        <v>0.83333333333333337</v>
      </c>
      <c r="J2304" s="3">
        <v>1120</v>
      </c>
      <c r="K2304">
        <v>3.1645569620253164</v>
      </c>
      <c r="L2304">
        <v>1.9891500904159132</v>
      </c>
      <c r="M2304">
        <v>0.2</v>
      </c>
    </row>
    <row r="2305" spans="1:15" x14ac:dyDescent="0.25">
      <c r="A2305" s="8" t="s">
        <v>471</v>
      </c>
      <c r="B2305" s="1" t="s">
        <v>412</v>
      </c>
      <c r="C2305" s="1">
        <v>2015</v>
      </c>
      <c r="D2305" s="1">
        <v>4</v>
      </c>
      <c r="E2305" s="1">
        <v>4</v>
      </c>
      <c r="F2305" s="1">
        <v>4</v>
      </c>
      <c r="G2305" s="1">
        <v>0</v>
      </c>
      <c r="H2305" s="5">
        <v>1.47</v>
      </c>
      <c r="I2305" s="2">
        <f>1/1.03</f>
        <v>0.970873786407767</v>
      </c>
      <c r="J2305" s="3">
        <v>1127</v>
      </c>
      <c r="K2305">
        <v>3.1645569620253164</v>
      </c>
      <c r="L2305">
        <v>1.9891500904159132</v>
      </c>
      <c r="M2305">
        <v>0.2</v>
      </c>
    </row>
    <row r="2306" spans="1:15" x14ac:dyDescent="0.25">
      <c r="A2306" t="s">
        <v>471</v>
      </c>
      <c r="B2306" s="1" t="s">
        <v>412</v>
      </c>
      <c r="C2306" s="1">
        <v>2016</v>
      </c>
      <c r="D2306" s="1">
        <v>4</v>
      </c>
      <c r="E2306" s="1">
        <v>4</v>
      </c>
      <c r="F2306" s="1">
        <v>4</v>
      </c>
      <c r="G2306" s="1">
        <v>0</v>
      </c>
      <c r="H2306" s="5">
        <v>1.05</v>
      </c>
      <c r="I2306" s="2">
        <f>1/1.55</f>
        <v>0.64516129032258063</v>
      </c>
      <c r="J2306" s="6">
        <v>1106</v>
      </c>
      <c r="K2306" s="7">
        <v>3.1645569620253164</v>
      </c>
      <c r="L2306" s="7">
        <v>1.9891500904159132</v>
      </c>
      <c r="M2306">
        <v>0.2</v>
      </c>
      <c r="O2306" s="7"/>
    </row>
    <row r="2307" spans="1:15" x14ac:dyDescent="0.25">
      <c r="A2307" t="s">
        <v>471</v>
      </c>
      <c r="B2307" s="1" t="s">
        <v>412</v>
      </c>
      <c r="C2307" s="1">
        <v>2017</v>
      </c>
      <c r="D2307" s="1">
        <v>4</v>
      </c>
      <c r="E2307" s="1">
        <v>4</v>
      </c>
      <c r="F2307" s="1">
        <v>4</v>
      </c>
      <c r="G2307" s="1">
        <v>0</v>
      </c>
      <c r="H2307" s="5">
        <v>1.07</v>
      </c>
      <c r="I2307" s="2">
        <f>1/1.12</f>
        <v>0.89285714285714279</v>
      </c>
      <c r="J2307">
        <v>1126</v>
      </c>
      <c r="K2307">
        <v>3.1645569620253164</v>
      </c>
      <c r="L2307">
        <v>1.9891500904159132</v>
      </c>
      <c r="M2307">
        <v>0.2</v>
      </c>
    </row>
    <row r="2308" spans="1:15" x14ac:dyDescent="0.25">
      <c r="A2308" s="8" t="s">
        <v>471</v>
      </c>
      <c r="B2308" s="1" t="s">
        <v>412</v>
      </c>
      <c r="C2308" s="1">
        <v>2018</v>
      </c>
      <c r="D2308" s="1">
        <v>4</v>
      </c>
      <c r="E2308" s="1">
        <v>4</v>
      </c>
      <c r="F2308" s="1">
        <v>4</v>
      </c>
      <c r="G2308" s="1">
        <v>0</v>
      </c>
      <c r="H2308" s="5">
        <v>1.06</v>
      </c>
      <c r="I2308" s="2">
        <f>1/1.01</f>
        <v>0.99009900990099009</v>
      </c>
      <c r="J2308" s="3">
        <v>1133</v>
      </c>
      <c r="K2308">
        <v>3.1645569620253164</v>
      </c>
      <c r="L2308">
        <v>1.9891500904159132</v>
      </c>
      <c r="M2308">
        <v>0.2</v>
      </c>
    </row>
    <row r="2309" spans="1:15" x14ac:dyDescent="0.25">
      <c r="A2309" s="8" t="s">
        <v>472</v>
      </c>
      <c r="B2309" s="1" t="s">
        <v>412</v>
      </c>
      <c r="C2309" s="1">
        <v>2014</v>
      </c>
      <c r="D2309" s="1">
        <v>1</v>
      </c>
      <c r="E2309" s="1">
        <v>1</v>
      </c>
      <c r="F2309" s="1">
        <v>1</v>
      </c>
      <c r="G2309" s="1">
        <v>0</v>
      </c>
      <c r="H2309" s="5">
        <v>0.4</v>
      </c>
      <c r="I2309" s="2">
        <f>1/1.04</f>
        <v>0.96153846153846145</v>
      </c>
      <c r="J2309" s="3">
        <v>163894</v>
      </c>
      <c r="K2309">
        <v>0.65137299845250352</v>
      </c>
      <c r="L2309">
        <v>10.939310943195872</v>
      </c>
      <c r="M2309">
        <v>1656.7</v>
      </c>
    </row>
    <row r="2310" spans="1:15" x14ac:dyDescent="0.25">
      <c r="A2310" s="8" t="s">
        <v>472</v>
      </c>
      <c r="B2310" s="1" t="s">
        <v>412</v>
      </c>
      <c r="C2310" s="1">
        <v>2015</v>
      </c>
      <c r="D2310" s="1">
        <v>1</v>
      </c>
      <c r="E2310" s="1">
        <v>1</v>
      </c>
      <c r="F2310" s="1">
        <v>1</v>
      </c>
      <c r="G2310" s="1">
        <v>0</v>
      </c>
      <c r="H2310" s="5">
        <v>0.48</v>
      </c>
      <c r="I2310" s="2">
        <f>1/0.99</f>
        <v>1.0101010101010102</v>
      </c>
      <c r="J2310" s="3">
        <v>162904</v>
      </c>
      <c r="K2310">
        <v>0.65137299845250352</v>
      </c>
      <c r="L2310">
        <v>10.939310943195872</v>
      </c>
      <c r="M2310">
        <v>1646.7</v>
      </c>
    </row>
    <row r="2311" spans="1:15" x14ac:dyDescent="0.25">
      <c r="A2311" t="s">
        <v>472</v>
      </c>
      <c r="B2311" s="1" t="s">
        <v>412</v>
      </c>
      <c r="C2311" s="1">
        <v>2016</v>
      </c>
      <c r="D2311" s="1">
        <v>1</v>
      </c>
      <c r="E2311" s="1">
        <v>1</v>
      </c>
      <c r="F2311" s="1">
        <v>1</v>
      </c>
      <c r="G2311" s="1">
        <v>0</v>
      </c>
      <c r="H2311" s="5">
        <v>0.45</v>
      </c>
      <c r="I2311" s="2">
        <f>1/1.01</f>
        <v>0.99009900990099009</v>
      </c>
      <c r="J2311" s="6">
        <v>154443</v>
      </c>
      <c r="K2311" s="7">
        <v>0.65137299845250352</v>
      </c>
      <c r="L2311" s="7">
        <v>10.939310943195872</v>
      </c>
      <c r="M2311">
        <v>1626.6</v>
      </c>
      <c r="O2311" s="7"/>
    </row>
    <row r="2312" spans="1:15" x14ac:dyDescent="0.25">
      <c r="A2312" t="s">
        <v>472</v>
      </c>
      <c r="B2312" s="1" t="s">
        <v>412</v>
      </c>
      <c r="C2312" s="1">
        <v>2017</v>
      </c>
      <c r="D2312" s="1">
        <v>1</v>
      </c>
      <c r="E2312" s="1">
        <v>1</v>
      </c>
      <c r="F2312" s="1">
        <v>1</v>
      </c>
      <c r="G2312" s="1">
        <v>0</v>
      </c>
      <c r="H2312" s="5">
        <v>0.65</v>
      </c>
      <c r="I2312" s="2">
        <f>1/1.05</f>
        <v>0.95238095238095233</v>
      </c>
      <c r="J2312">
        <v>160284</v>
      </c>
      <c r="K2312">
        <v>0.65137299845250352</v>
      </c>
      <c r="L2312">
        <v>10.939310943195872</v>
      </c>
      <c r="M2312">
        <v>1620.2</v>
      </c>
    </row>
    <row r="2313" spans="1:15" x14ac:dyDescent="0.25">
      <c r="A2313" s="8" t="s">
        <v>472</v>
      </c>
      <c r="B2313" s="1" t="s">
        <v>412</v>
      </c>
      <c r="C2313" s="1">
        <v>2018</v>
      </c>
      <c r="D2313" s="1">
        <v>1</v>
      </c>
      <c r="E2313" s="1">
        <v>1</v>
      </c>
      <c r="F2313" s="1">
        <v>1</v>
      </c>
      <c r="G2313" s="1">
        <v>0</v>
      </c>
      <c r="H2313" s="5">
        <v>0.67</v>
      </c>
      <c r="I2313" s="2">
        <f>1/1.02</f>
        <v>0.98039215686274506</v>
      </c>
      <c r="J2313" s="3">
        <v>160031</v>
      </c>
      <c r="K2313">
        <v>0.65137299845250352</v>
      </c>
      <c r="L2313">
        <v>10.939310943195872</v>
      </c>
      <c r="M2313">
        <v>1617.6</v>
      </c>
    </row>
    <row r="2314" spans="1:15" x14ac:dyDescent="0.25">
      <c r="A2314" s="8" t="s">
        <v>473</v>
      </c>
      <c r="B2314" s="1" t="s">
        <v>412</v>
      </c>
      <c r="C2314" s="1">
        <v>2014</v>
      </c>
      <c r="D2314" s="1">
        <v>1</v>
      </c>
      <c r="E2314" s="1">
        <v>2</v>
      </c>
      <c r="F2314" s="1">
        <v>1.5</v>
      </c>
      <c r="G2314" s="1">
        <v>1</v>
      </c>
      <c r="H2314" s="5">
        <v>0.66</v>
      </c>
      <c r="I2314" s="2">
        <f>1/0.92</f>
        <v>1.0869565217391304</v>
      </c>
      <c r="J2314" s="3">
        <v>59113</v>
      </c>
      <c r="K2314">
        <v>1.7963133800978224</v>
      </c>
      <c r="L2314">
        <v>11.81702668360864</v>
      </c>
      <c r="M2314">
        <v>182.3</v>
      </c>
    </row>
    <row r="2315" spans="1:15" x14ac:dyDescent="0.25">
      <c r="A2315" s="8" t="s">
        <v>473</v>
      </c>
      <c r="B2315" s="1" t="s">
        <v>412</v>
      </c>
      <c r="C2315" s="1">
        <v>2015</v>
      </c>
      <c r="D2315" s="1">
        <v>1</v>
      </c>
      <c r="E2315" s="1">
        <v>2</v>
      </c>
      <c r="F2315" s="1">
        <v>1.5</v>
      </c>
      <c r="G2315" s="1">
        <v>1</v>
      </c>
      <c r="H2315" s="5">
        <v>0.42</v>
      </c>
      <c r="I2315" s="2">
        <f>1/0.96</f>
        <v>1.0416666666666667</v>
      </c>
      <c r="J2315" s="3">
        <v>59298</v>
      </c>
      <c r="K2315">
        <v>1.7963133800978224</v>
      </c>
      <c r="L2315">
        <v>11.81702668360864</v>
      </c>
      <c r="M2315">
        <v>182.9</v>
      </c>
    </row>
    <row r="2316" spans="1:15" x14ac:dyDescent="0.25">
      <c r="A2316" t="s">
        <v>473</v>
      </c>
      <c r="B2316" s="1" t="s">
        <v>412</v>
      </c>
      <c r="C2316" s="1">
        <v>2016</v>
      </c>
      <c r="D2316" s="1">
        <v>1</v>
      </c>
      <c r="E2316" s="1">
        <v>2</v>
      </c>
      <c r="F2316" s="1">
        <v>1.5</v>
      </c>
      <c r="G2316" s="1">
        <v>1</v>
      </c>
      <c r="H2316" s="5">
        <v>1.5</v>
      </c>
      <c r="I2316" s="2">
        <f>1/0.96</f>
        <v>1.0416666666666667</v>
      </c>
      <c r="J2316" s="6">
        <v>57451</v>
      </c>
      <c r="K2316" s="7">
        <v>1.7963133800978224</v>
      </c>
      <c r="L2316" s="7">
        <v>11.81702668360864</v>
      </c>
      <c r="M2316">
        <v>182.6</v>
      </c>
      <c r="O2316" s="7"/>
    </row>
    <row r="2317" spans="1:15" x14ac:dyDescent="0.25">
      <c r="A2317" t="s">
        <v>473</v>
      </c>
      <c r="B2317" s="1" t="s">
        <v>412</v>
      </c>
      <c r="C2317" s="1">
        <v>2017</v>
      </c>
      <c r="D2317" s="1">
        <v>1</v>
      </c>
      <c r="E2317" s="1">
        <v>2</v>
      </c>
      <c r="F2317" s="1">
        <v>1.5</v>
      </c>
      <c r="G2317" s="1">
        <v>1</v>
      </c>
      <c r="H2317" s="5">
        <v>0.54</v>
      </c>
      <c r="I2317" s="2">
        <f>1/1.03</f>
        <v>0.970873786407767</v>
      </c>
      <c r="J2317">
        <v>59204</v>
      </c>
      <c r="K2317">
        <v>1.7963133800978224</v>
      </c>
      <c r="L2317">
        <v>11.81702668360864</v>
      </c>
      <c r="M2317">
        <v>182.6</v>
      </c>
    </row>
    <row r="2318" spans="1:15" x14ac:dyDescent="0.25">
      <c r="A2318" s="8" t="s">
        <v>473</v>
      </c>
      <c r="B2318" s="1" t="s">
        <v>412</v>
      </c>
      <c r="C2318" s="1">
        <v>2018</v>
      </c>
      <c r="D2318" s="1">
        <v>1</v>
      </c>
      <c r="E2318" s="1">
        <v>2</v>
      </c>
      <c r="F2318" s="1">
        <v>1.5</v>
      </c>
      <c r="G2318" s="1">
        <v>1</v>
      </c>
      <c r="H2318" s="5">
        <v>0.51</v>
      </c>
      <c r="I2318" s="2">
        <f>1/0.96</f>
        <v>1.0416666666666667</v>
      </c>
      <c r="J2318" s="3">
        <v>58946</v>
      </c>
      <c r="K2318">
        <v>1.7963133800978224</v>
      </c>
      <c r="L2318">
        <v>11.81702668360864</v>
      </c>
      <c r="M2318">
        <v>181.8</v>
      </c>
    </row>
    <row r="2319" spans="1:15" x14ac:dyDescent="0.25">
      <c r="A2319" s="8" t="s">
        <v>474</v>
      </c>
      <c r="B2319" s="1" t="s">
        <v>412</v>
      </c>
      <c r="C2319" s="1">
        <v>2014</v>
      </c>
      <c r="D2319" s="9">
        <v>3</v>
      </c>
      <c r="E2319" s="9">
        <v>5</v>
      </c>
      <c r="F2319" s="9">
        <v>4</v>
      </c>
      <c r="G2319" s="1">
        <v>2</v>
      </c>
      <c r="H2319" s="5">
        <v>1.1100000000000001</v>
      </c>
      <c r="I2319" s="2">
        <f>1/1.1</f>
        <v>0.90909090909090906</v>
      </c>
      <c r="J2319" s="3">
        <v>32498</v>
      </c>
      <c r="K2319">
        <v>7.2605064386250957</v>
      </c>
      <c r="L2319">
        <v>11.519648620769974</v>
      </c>
      <c r="M2319">
        <v>0.3</v>
      </c>
    </row>
    <row r="2320" spans="1:15" x14ac:dyDescent="0.25">
      <c r="A2320" s="8" t="s">
        <v>474</v>
      </c>
      <c r="B2320" s="1" t="s">
        <v>412</v>
      </c>
      <c r="C2320" s="1">
        <v>2015</v>
      </c>
      <c r="D2320" s="9">
        <v>3</v>
      </c>
      <c r="E2320" s="9">
        <v>5</v>
      </c>
      <c r="F2320" s="9">
        <v>4</v>
      </c>
      <c r="G2320" s="1">
        <v>2</v>
      </c>
      <c r="H2320" s="5">
        <v>0.85</v>
      </c>
      <c r="I2320" s="2">
        <f>1/1.21</f>
        <v>0.82644628099173556</v>
      </c>
      <c r="J2320" s="3">
        <v>31748</v>
      </c>
      <c r="K2320">
        <v>7.2605064386250957</v>
      </c>
      <c r="L2320">
        <v>11.519648620769974</v>
      </c>
      <c r="M2320">
        <v>0.3</v>
      </c>
    </row>
    <row r="2321" spans="1:15" x14ac:dyDescent="0.25">
      <c r="A2321" s="10" t="s">
        <v>474</v>
      </c>
      <c r="B2321" s="9" t="s">
        <v>412</v>
      </c>
      <c r="C2321" s="1">
        <v>2016</v>
      </c>
      <c r="D2321" s="9">
        <v>3</v>
      </c>
      <c r="E2321" s="9">
        <v>5</v>
      </c>
      <c r="F2321" s="9">
        <v>4</v>
      </c>
      <c r="G2321" s="1">
        <v>2</v>
      </c>
      <c r="H2321" s="5">
        <v>0.42</v>
      </c>
      <c r="I2321" s="2">
        <f>1/1.27</f>
        <v>0.78740157480314954</v>
      </c>
      <c r="J2321" s="6">
        <v>30053</v>
      </c>
      <c r="K2321" s="7">
        <v>7.2605064386250957</v>
      </c>
      <c r="L2321" s="7">
        <v>11.519648620769974</v>
      </c>
      <c r="M2321">
        <v>0.3</v>
      </c>
      <c r="O2321" s="7"/>
    </row>
    <row r="2322" spans="1:15" x14ac:dyDescent="0.25">
      <c r="A2322" s="10" t="s">
        <v>474</v>
      </c>
      <c r="B2322" s="9" t="s">
        <v>412</v>
      </c>
      <c r="C2322" s="1">
        <v>2017</v>
      </c>
      <c r="D2322" s="9">
        <v>3</v>
      </c>
      <c r="E2322" s="9">
        <v>5</v>
      </c>
      <c r="F2322" s="9">
        <v>4</v>
      </c>
      <c r="G2322" s="1">
        <v>2</v>
      </c>
      <c r="H2322" s="5">
        <v>0.71</v>
      </c>
      <c r="I2322" s="2">
        <f>1/0.86</f>
        <v>1.1627906976744187</v>
      </c>
      <c r="J2322">
        <v>30570</v>
      </c>
      <c r="K2322">
        <v>7.2605064386250957</v>
      </c>
      <c r="L2322">
        <v>11.519648620769974</v>
      </c>
      <c r="M2322">
        <v>0.3</v>
      </c>
    </row>
    <row r="2323" spans="1:15" x14ac:dyDescent="0.25">
      <c r="A2323" s="8" t="s">
        <v>474</v>
      </c>
      <c r="B2323" s="1" t="s">
        <v>412</v>
      </c>
      <c r="C2323" s="1">
        <v>2018</v>
      </c>
      <c r="D2323" s="9">
        <v>3</v>
      </c>
      <c r="E2323" s="9">
        <v>5</v>
      </c>
      <c r="F2323" s="9">
        <v>4</v>
      </c>
      <c r="G2323" s="1">
        <v>2</v>
      </c>
      <c r="H2323" s="5">
        <v>0.86</v>
      </c>
      <c r="I2323" s="2">
        <f>1/0.89</f>
        <v>1.1235955056179776</v>
      </c>
      <c r="J2323" s="3">
        <v>29998</v>
      </c>
      <c r="K2323">
        <v>7.2605064386250957</v>
      </c>
      <c r="L2323">
        <v>11.519648620769974</v>
      </c>
      <c r="M2323">
        <v>0.3</v>
      </c>
    </row>
    <row r="2324" spans="1:15" x14ac:dyDescent="0.25">
      <c r="A2324" s="8" t="s">
        <v>475</v>
      </c>
      <c r="B2324" s="1" t="s">
        <v>412</v>
      </c>
      <c r="C2324" s="1">
        <v>2014</v>
      </c>
      <c r="D2324" s="1">
        <v>4</v>
      </c>
      <c r="E2324" s="1">
        <v>5</v>
      </c>
      <c r="F2324" s="1">
        <v>4.5</v>
      </c>
      <c r="G2324" s="1">
        <v>1</v>
      </c>
      <c r="H2324" s="5">
        <v>1.22</v>
      </c>
      <c r="I2324" s="2">
        <f>1/0.81</f>
        <v>1.2345679012345678</v>
      </c>
      <c r="J2324" s="3">
        <v>23985</v>
      </c>
      <c r="K2324">
        <v>13.049552906110284</v>
      </c>
      <c r="L2324">
        <v>12.695603576751118</v>
      </c>
      <c r="M2324">
        <v>1.6</v>
      </c>
    </row>
    <row r="2325" spans="1:15" x14ac:dyDescent="0.25">
      <c r="A2325" s="8" t="s">
        <v>475</v>
      </c>
      <c r="B2325" s="1" t="s">
        <v>412</v>
      </c>
      <c r="C2325" s="1">
        <v>2015</v>
      </c>
      <c r="D2325" s="1">
        <v>4</v>
      </c>
      <c r="E2325" s="1">
        <v>5</v>
      </c>
      <c r="F2325" s="1">
        <v>4.5</v>
      </c>
      <c r="G2325" s="1">
        <v>1</v>
      </c>
      <c r="H2325" s="5">
        <v>0.71</v>
      </c>
      <c r="I2325" s="2">
        <f>100/18</f>
        <v>5.5555555555555554</v>
      </c>
      <c r="J2325" s="3">
        <v>23103</v>
      </c>
      <c r="K2325">
        <v>13.049552906110284</v>
      </c>
      <c r="L2325">
        <v>12.695603576751118</v>
      </c>
      <c r="M2325">
        <v>1.5</v>
      </c>
    </row>
    <row r="2326" spans="1:15" x14ac:dyDescent="0.25">
      <c r="A2326" t="s">
        <v>475</v>
      </c>
      <c r="B2326" s="1" t="s">
        <v>412</v>
      </c>
      <c r="C2326" s="1">
        <v>2016</v>
      </c>
      <c r="D2326" s="1">
        <v>4</v>
      </c>
      <c r="E2326" s="1">
        <v>5</v>
      </c>
      <c r="F2326" s="1">
        <v>4.5</v>
      </c>
      <c r="G2326" s="1">
        <v>1</v>
      </c>
      <c r="H2326" s="5">
        <v>0.92</v>
      </c>
      <c r="I2326" s="2">
        <f>20/19</f>
        <v>1.0526315789473684</v>
      </c>
      <c r="J2326" s="6">
        <v>21472</v>
      </c>
      <c r="K2326" s="7">
        <v>13.049552906110284</v>
      </c>
      <c r="L2326" s="7">
        <v>12.695603576751118</v>
      </c>
      <c r="M2326">
        <v>1.5</v>
      </c>
      <c r="O2326" s="7"/>
    </row>
    <row r="2327" spans="1:15" x14ac:dyDescent="0.25">
      <c r="A2327" t="s">
        <v>475</v>
      </c>
      <c r="B2327" s="1" t="s">
        <v>412</v>
      </c>
      <c r="C2327" s="1">
        <v>2017</v>
      </c>
      <c r="D2327" s="1">
        <v>4</v>
      </c>
      <c r="E2327" s="1">
        <v>5</v>
      </c>
      <c r="F2327" s="1">
        <v>4.5</v>
      </c>
      <c r="G2327" s="1">
        <v>1</v>
      </c>
      <c r="H2327" s="5">
        <v>0.72</v>
      </c>
      <c r="I2327" s="2">
        <f>100/89</f>
        <v>1.1235955056179776</v>
      </c>
      <c r="J2327">
        <v>22187</v>
      </c>
      <c r="K2327">
        <v>13.049552906110284</v>
      </c>
      <c r="L2327">
        <v>12.695603576751118</v>
      </c>
      <c r="M2327">
        <v>1.5</v>
      </c>
    </row>
    <row r="2328" spans="1:15" x14ac:dyDescent="0.25">
      <c r="A2328" s="8" t="s">
        <v>475</v>
      </c>
      <c r="B2328" s="1" t="s">
        <v>412</v>
      </c>
      <c r="C2328" s="1">
        <v>2018</v>
      </c>
      <c r="D2328" s="1">
        <v>4</v>
      </c>
      <c r="E2328" s="1">
        <v>5</v>
      </c>
      <c r="F2328" s="1">
        <v>4.5</v>
      </c>
      <c r="G2328" s="1">
        <v>1</v>
      </c>
      <c r="H2328" s="5">
        <v>0.88</v>
      </c>
      <c r="I2328" s="2">
        <f>100/113</f>
        <v>0.88495575221238942</v>
      </c>
      <c r="J2328" s="3">
        <v>22414</v>
      </c>
      <c r="K2328">
        <v>13.049552906110284</v>
      </c>
      <c r="L2328">
        <v>12.695603576751118</v>
      </c>
      <c r="M2328">
        <v>1.5</v>
      </c>
    </row>
    <row r="2329" spans="1:15" x14ac:dyDescent="0.25">
      <c r="A2329" s="8" t="s">
        <v>476</v>
      </c>
      <c r="B2329" s="1" t="s">
        <v>412</v>
      </c>
      <c r="C2329" s="1">
        <v>2014</v>
      </c>
      <c r="D2329" s="1">
        <v>3</v>
      </c>
      <c r="E2329" s="1">
        <v>3</v>
      </c>
      <c r="F2329" s="1">
        <v>3</v>
      </c>
      <c r="G2329" s="1">
        <v>0</v>
      </c>
      <c r="H2329" s="5">
        <v>1.1599999999999999</v>
      </c>
      <c r="I2329" s="2">
        <f>1/0.75</f>
        <v>1.3333333333333333</v>
      </c>
      <c r="J2329" s="3">
        <v>4389</v>
      </c>
      <c r="K2329">
        <v>7.4698795180722897</v>
      </c>
      <c r="L2329">
        <v>19.012048192771083</v>
      </c>
      <c r="M2329">
        <v>2.9</v>
      </c>
    </row>
    <row r="2330" spans="1:15" x14ac:dyDescent="0.25">
      <c r="A2330" s="8" t="s">
        <v>476</v>
      </c>
      <c r="B2330" s="1" t="s">
        <v>412</v>
      </c>
      <c r="C2330" s="1">
        <v>2015</v>
      </c>
      <c r="D2330" s="1">
        <v>3</v>
      </c>
      <c r="E2330" s="1">
        <v>3</v>
      </c>
      <c r="F2330" s="1">
        <v>3</v>
      </c>
      <c r="G2330" s="1">
        <v>0</v>
      </c>
      <c r="H2330" s="5">
        <v>0.98</v>
      </c>
      <c r="I2330" s="2">
        <f>1/0.84</f>
        <v>1.1904761904761905</v>
      </c>
      <c r="J2330" s="3">
        <v>4308</v>
      </c>
      <c r="K2330">
        <v>7.4698795180722897</v>
      </c>
      <c r="L2330">
        <v>19.012048192771083</v>
      </c>
      <c r="M2330">
        <v>2.8</v>
      </c>
    </row>
    <row r="2331" spans="1:15" x14ac:dyDescent="0.25">
      <c r="A2331" t="s">
        <v>476</v>
      </c>
      <c r="B2331" s="1" t="s">
        <v>412</v>
      </c>
      <c r="C2331" s="1">
        <v>2016</v>
      </c>
      <c r="D2331" s="1">
        <v>3</v>
      </c>
      <c r="E2331" s="1">
        <v>3</v>
      </c>
      <c r="F2331" s="1">
        <v>3</v>
      </c>
      <c r="G2331" s="1">
        <v>0</v>
      </c>
      <c r="H2331" s="5">
        <v>1.31</v>
      </c>
      <c r="I2331" s="2">
        <f>1/1.36</f>
        <v>0.73529411764705876</v>
      </c>
      <c r="J2331" s="6">
        <v>4150</v>
      </c>
      <c r="K2331" s="7">
        <v>7.4698795180722897</v>
      </c>
      <c r="L2331" s="7">
        <v>19.012048192771083</v>
      </c>
      <c r="M2331">
        <v>2.8</v>
      </c>
      <c r="O2331" s="7"/>
    </row>
    <row r="2332" spans="1:15" x14ac:dyDescent="0.25">
      <c r="A2332" t="s">
        <v>476</v>
      </c>
      <c r="B2332" s="1" t="s">
        <v>412</v>
      </c>
      <c r="C2332" s="1">
        <v>2017</v>
      </c>
      <c r="D2332" s="1">
        <v>3</v>
      </c>
      <c r="E2332" s="1">
        <v>3</v>
      </c>
      <c r="F2332" s="1">
        <v>3</v>
      </c>
      <c r="G2332" s="1">
        <v>0</v>
      </c>
      <c r="H2332" s="5">
        <v>0.73</v>
      </c>
      <c r="I2332" s="2">
        <f>1/1.18</f>
        <v>0.84745762711864414</v>
      </c>
      <c r="J2332">
        <v>4142</v>
      </c>
      <c r="K2332">
        <v>7.4698795180722897</v>
      </c>
      <c r="L2332">
        <v>19.012048192771083</v>
      </c>
      <c r="M2332">
        <v>2.7</v>
      </c>
    </row>
    <row r="2333" spans="1:15" x14ac:dyDescent="0.25">
      <c r="A2333" s="8" t="s">
        <v>476</v>
      </c>
      <c r="B2333" s="1" t="s">
        <v>412</v>
      </c>
      <c r="C2333" s="1">
        <v>2018</v>
      </c>
      <c r="D2333" s="1">
        <v>3</v>
      </c>
      <c r="E2333" s="1">
        <v>3</v>
      </c>
      <c r="F2333" s="1">
        <v>3</v>
      </c>
      <c r="G2333" s="1">
        <v>0</v>
      </c>
      <c r="H2333" s="5">
        <v>0.62</v>
      </c>
      <c r="I2333" s="2">
        <f>1/1.46</f>
        <v>0.68493150684931503</v>
      </c>
      <c r="J2333" s="3">
        <v>4085</v>
      </c>
      <c r="K2333">
        <v>7.4698795180722897</v>
      </c>
      <c r="L2333">
        <v>19.012048192771083</v>
      </c>
      <c r="M2333">
        <v>2.7</v>
      </c>
    </row>
    <row r="2334" spans="1:15" x14ac:dyDescent="0.25">
      <c r="A2334" s="8" t="s">
        <v>477</v>
      </c>
      <c r="B2334" s="1" t="s">
        <v>412</v>
      </c>
      <c r="C2334" s="1">
        <v>2014</v>
      </c>
      <c r="D2334" s="1">
        <v>3</v>
      </c>
      <c r="E2334" s="1">
        <v>3</v>
      </c>
      <c r="F2334" s="1">
        <v>3</v>
      </c>
      <c r="G2334" s="1">
        <v>0</v>
      </c>
      <c r="H2334" s="5">
        <v>2.1</v>
      </c>
      <c r="I2334" s="2">
        <f>1/1.32</f>
        <v>0.75757575757575757</v>
      </c>
      <c r="J2334" s="3">
        <v>1251</v>
      </c>
      <c r="K2334">
        <v>7.0261437908496731</v>
      </c>
      <c r="L2334">
        <v>3.2679738562091507</v>
      </c>
      <c r="M2334">
        <v>0.7</v>
      </c>
    </row>
    <row r="2335" spans="1:15" x14ac:dyDescent="0.25">
      <c r="A2335" s="8" t="s">
        <v>477</v>
      </c>
      <c r="B2335" s="1" t="s">
        <v>412</v>
      </c>
      <c r="C2335" s="1">
        <v>2015</v>
      </c>
      <c r="D2335" s="1">
        <v>3</v>
      </c>
      <c r="E2335" s="1">
        <v>3</v>
      </c>
      <c r="F2335" s="1">
        <v>3</v>
      </c>
      <c r="G2335" s="1">
        <v>0</v>
      </c>
      <c r="H2335" s="5">
        <v>2.1800000000000002</v>
      </c>
      <c r="I2335" s="2">
        <f>1/0.87</f>
        <v>1.1494252873563218</v>
      </c>
      <c r="J2335" s="3">
        <v>1249</v>
      </c>
      <c r="K2335">
        <v>7.0261437908496731</v>
      </c>
      <c r="L2335">
        <v>3.2679738562091507</v>
      </c>
      <c r="M2335">
        <v>0.7</v>
      </c>
    </row>
    <row r="2336" spans="1:15" x14ac:dyDescent="0.25">
      <c r="A2336" t="s">
        <v>477</v>
      </c>
      <c r="B2336" s="1" t="s">
        <v>412</v>
      </c>
      <c r="C2336" s="1">
        <v>2016</v>
      </c>
      <c r="D2336" s="1">
        <v>3</v>
      </c>
      <c r="E2336" s="1">
        <v>3</v>
      </c>
      <c r="F2336" s="1">
        <v>3</v>
      </c>
      <c r="G2336" s="1">
        <v>0</v>
      </c>
      <c r="H2336" s="5">
        <v>0.85</v>
      </c>
      <c r="I2336" s="2">
        <f>1/1.82</f>
        <v>0.54945054945054939</v>
      </c>
      <c r="J2336" s="6">
        <v>1224</v>
      </c>
      <c r="K2336" s="7">
        <v>7.0261437908496731</v>
      </c>
      <c r="L2336" s="7">
        <v>3.2679738562091507</v>
      </c>
      <c r="M2336">
        <v>0.6</v>
      </c>
      <c r="O2336" s="7"/>
    </row>
    <row r="2337" spans="1:15" x14ac:dyDescent="0.25">
      <c r="A2337" t="s">
        <v>477</v>
      </c>
      <c r="B2337" s="1" t="s">
        <v>412</v>
      </c>
      <c r="C2337" s="1">
        <v>2017</v>
      </c>
      <c r="D2337" s="1">
        <v>3</v>
      </c>
      <c r="E2337" s="1">
        <v>3</v>
      </c>
      <c r="F2337" s="1">
        <v>3</v>
      </c>
      <c r="G2337" s="1">
        <v>0</v>
      </c>
      <c r="H2337" s="5">
        <v>1.5</v>
      </c>
      <c r="I2337" s="2">
        <f>1/0.72</f>
        <v>1.3888888888888888</v>
      </c>
      <c r="J2337">
        <v>1221</v>
      </c>
      <c r="K2337">
        <v>7.0261437908496731</v>
      </c>
      <c r="L2337">
        <v>3.2679738562091507</v>
      </c>
      <c r="M2337">
        <v>0.6</v>
      </c>
    </row>
    <row r="2338" spans="1:15" x14ac:dyDescent="0.25">
      <c r="A2338" s="8" t="s">
        <v>477</v>
      </c>
      <c r="B2338" s="1" t="s">
        <v>412</v>
      </c>
      <c r="C2338" s="1">
        <v>2018</v>
      </c>
      <c r="D2338" s="1">
        <v>3</v>
      </c>
      <c r="E2338" s="1">
        <v>3</v>
      </c>
      <c r="F2338" s="1">
        <v>3</v>
      </c>
      <c r="G2338" s="1">
        <v>0</v>
      </c>
      <c r="H2338" s="5">
        <v>1.53</v>
      </c>
      <c r="I2338" s="2">
        <f>1/1.12</f>
        <v>0.89285714285714279</v>
      </c>
      <c r="J2338" s="3">
        <v>1207</v>
      </c>
      <c r="K2338">
        <v>7.0261437908496731</v>
      </c>
      <c r="L2338">
        <v>3.2679738562091507</v>
      </c>
      <c r="M2338">
        <v>0.6</v>
      </c>
    </row>
    <row r="2339" spans="1:15" x14ac:dyDescent="0.25">
      <c r="A2339" s="8" t="s">
        <v>478</v>
      </c>
      <c r="B2339" s="1" t="s">
        <v>412</v>
      </c>
      <c r="C2339" s="1">
        <v>2014</v>
      </c>
      <c r="D2339" s="1">
        <v>4</v>
      </c>
      <c r="E2339" s="1">
        <v>4</v>
      </c>
      <c r="F2339" s="1">
        <v>4</v>
      </c>
      <c r="G2339" s="1">
        <v>0</v>
      </c>
      <c r="H2339" s="5">
        <v>1.44</v>
      </c>
      <c r="I2339" s="2">
        <f>1/1.17</f>
        <v>0.85470085470085477</v>
      </c>
      <c r="J2339" s="3">
        <v>556</v>
      </c>
      <c r="K2339">
        <v>1.5985790408525755</v>
      </c>
      <c r="L2339">
        <v>1.5985790408525755</v>
      </c>
      <c r="M2339">
        <v>0.1</v>
      </c>
    </row>
    <row r="2340" spans="1:15" x14ac:dyDescent="0.25">
      <c r="A2340" s="8" t="s">
        <v>478</v>
      </c>
      <c r="B2340" s="1" t="s">
        <v>412</v>
      </c>
      <c r="C2340" s="1">
        <v>2015</v>
      </c>
      <c r="D2340" s="1">
        <v>4</v>
      </c>
      <c r="E2340" s="1">
        <v>4</v>
      </c>
      <c r="F2340" s="1">
        <v>4</v>
      </c>
      <c r="G2340" s="1">
        <v>0</v>
      </c>
      <c r="H2340" s="5">
        <v>2.12</v>
      </c>
      <c r="I2340" s="2">
        <f>1/0.53</f>
        <v>1.8867924528301885</v>
      </c>
      <c r="J2340" s="3">
        <v>559</v>
      </c>
      <c r="K2340">
        <v>1.5985790408525755</v>
      </c>
      <c r="L2340">
        <v>1.5985790408525755</v>
      </c>
      <c r="M2340">
        <v>0.1</v>
      </c>
    </row>
    <row r="2341" spans="1:15" x14ac:dyDescent="0.25">
      <c r="A2341" t="s">
        <v>478</v>
      </c>
      <c r="B2341" s="1" t="s">
        <v>412</v>
      </c>
      <c r="C2341" s="1">
        <v>2016</v>
      </c>
      <c r="D2341" s="1">
        <v>4</v>
      </c>
      <c r="E2341" s="1">
        <v>4</v>
      </c>
      <c r="F2341" s="1">
        <v>4</v>
      </c>
      <c r="G2341" s="1">
        <v>0</v>
      </c>
      <c r="H2341" s="5">
        <v>1.82</v>
      </c>
      <c r="I2341" s="2">
        <f>1/1.07</f>
        <v>0.93457943925233644</v>
      </c>
      <c r="J2341" s="6">
        <v>563</v>
      </c>
      <c r="K2341" s="7">
        <v>1.5985790408525755</v>
      </c>
      <c r="L2341" s="7">
        <v>1.5985790408525755</v>
      </c>
      <c r="M2341">
        <v>0.1</v>
      </c>
      <c r="O2341" s="7"/>
    </row>
    <row r="2342" spans="1:15" x14ac:dyDescent="0.25">
      <c r="A2342" t="s">
        <v>478</v>
      </c>
      <c r="B2342" s="1" t="s">
        <v>412</v>
      </c>
      <c r="C2342" s="1">
        <v>2017</v>
      </c>
      <c r="D2342" s="1">
        <v>4</v>
      </c>
      <c r="E2342" s="1">
        <v>4</v>
      </c>
      <c r="F2342" s="1">
        <v>4</v>
      </c>
      <c r="G2342" s="1">
        <v>0</v>
      </c>
      <c r="H2342" s="5">
        <v>1.25</v>
      </c>
      <c r="I2342" s="5">
        <v>2</v>
      </c>
      <c r="J2342">
        <v>563</v>
      </c>
      <c r="K2342">
        <v>1.5985790408525755</v>
      </c>
      <c r="L2342">
        <v>1.5985790408525755</v>
      </c>
      <c r="M2342">
        <v>0.1</v>
      </c>
    </row>
    <row r="2343" spans="1:15" x14ac:dyDescent="0.25">
      <c r="A2343" s="8" t="s">
        <v>478</v>
      </c>
      <c r="B2343" s="1" t="s">
        <v>412</v>
      </c>
      <c r="C2343" s="1">
        <v>2018</v>
      </c>
      <c r="D2343" s="1">
        <v>4</v>
      </c>
      <c r="E2343" s="1">
        <v>4</v>
      </c>
      <c r="F2343" s="1">
        <v>4</v>
      </c>
      <c r="G2343" s="1">
        <v>0</v>
      </c>
      <c r="H2343" s="5">
        <v>1.29</v>
      </c>
      <c r="I2343" s="2">
        <f>1/1.03</f>
        <v>0.970873786407767</v>
      </c>
      <c r="J2343" s="3">
        <v>562</v>
      </c>
      <c r="K2343">
        <v>1.5985790408525755</v>
      </c>
      <c r="L2343">
        <v>1.5985790408525755</v>
      </c>
      <c r="M2343">
        <v>0.1</v>
      </c>
    </row>
    <row r="2344" spans="1:15" x14ac:dyDescent="0.25">
      <c r="A2344" s="8" t="s">
        <v>479</v>
      </c>
      <c r="B2344" s="1" t="s">
        <v>412</v>
      </c>
      <c r="C2344" s="1">
        <v>2014</v>
      </c>
      <c r="D2344" s="1">
        <v>3</v>
      </c>
      <c r="E2344" s="1">
        <v>3</v>
      </c>
      <c r="F2344" s="1">
        <v>3</v>
      </c>
      <c r="G2344" s="1">
        <v>0</v>
      </c>
      <c r="H2344" s="5">
        <v>1.02</v>
      </c>
      <c r="I2344" s="2">
        <f>1/1.15</f>
        <v>0.86956521739130443</v>
      </c>
      <c r="J2344" s="3">
        <v>2029</v>
      </c>
      <c r="K2344">
        <v>4.5431600201918219</v>
      </c>
      <c r="L2344">
        <v>3.1802120141342751</v>
      </c>
      <c r="M2344">
        <v>0.7</v>
      </c>
    </row>
    <row r="2345" spans="1:15" x14ac:dyDescent="0.25">
      <c r="A2345" s="8" t="s">
        <v>479</v>
      </c>
      <c r="B2345" s="1" t="s">
        <v>412</v>
      </c>
      <c r="C2345" s="1">
        <v>2015</v>
      </c>
      <c r="D2345" s="1">
        <v>3</v>
      </c>
      <c r="E2345" s="1">
        <v>3</v>
      </c>
      <c r="F2345" s="1">
        <v>3</v>
      </c>
      <c r="G2345" s="1">
        <v>0</v>
      </c>
      <c r="H2345" s="5">
        <v>1.68</v>
      </c>
      <c r="I2345" s="2">
        <f>1/0.99</f>
        <v>1.0101010101010102</v>
      </c>
      <c r="J2345" s="3">
        <v>2027</v>
      </c>
      <c r="K2345">
        <v>4.5431600201918219</v>
      </c>
      <c r="L2345">
        <v>3.1802120141342751</v>
      </c>
      <c r="M2345">
        <v>0.7</v>
      </c>
    </row>
    <row r="2346" spans="1:15" x14ac:dyDescent="0.25">
      <c r="A2346" t="s">
        <v>479</v>
      </c>
      <c r="B2346" s="1" t="s">
        <v>412</v>
      </c>
      <c r="C2346" s="1">
        <v>2016</v>
      </c>
      <c r="D2346" s="1">
        <v>3</v>
      </c>
      <c r="E2346" s="1">
        <v>3</v>
      </c>
      <c r="F2346" s="1">
        <v>3</v>
      </c>
      <c r="G2346" s="1">
        <v>0</v>
      </c>
      <c r="H2346" s="5">
        <v>0.79</v>
      </c>
      <c r="I2346" s="2">
        <f>1/1.44</f>
        <v>0.69444444444444442</v>
      </c>
      <c r="J2346" s="6">
        <v>1981</v>
      </c>
      <c r="K2346" s="7">
        <v>4.5431600201918219</v>
      </c>
      <c r="L2346" s="7">
        <v>3.1802120141342751</v>
      </c>
      <c r="M2346">
        <v>0.7</v>
      </c>
      <c r="O2346" s="7"/>
    </row>
    <row r="2347" spans="1:15" x14ac:dyDescent="0.25">
      <c r="A2347" t="s">
        <v>479</v>
      </c>
      <c r="B2347" s="1" t="s">
        <v>412</v>
      </c>
      <c r="C2347" s="1">
        <v>2017</v>
      </c>
      <c r="D2347" s="1">
        <v>3</v>
      </c>
      <c r="E2347" s="1">
        <v>3</v>
      </c>
      <c r="F2347" s="1">
        <v>3</v>
      </c>
      <c r="G2347" s="1">
        <v>0</v>
      </c>
      <c r="H2347" s="5">
        <v>1.27</v>
      </c>
      <c r="I2347" s="2">
        <f>1/1.25</f>
        <v>0.8</v>
      </c>
      <c r="J2347">
        <v>2001</v>
      </c>
      <c r="K2347">
        <v>4.5431600201918219</v>
      </c>
      <c r="L2347">
        <v>3.1802120141342751</v>
      </c>
      <c r="M2347">
        <v>0.7</v>
      </c>
    </row>
    <row r="2348" spans="1:15" x14ac:dyDescent="0.25">
      <c r="A2348" s="8" t="s">
        <v>479</v>
      </c>
      <c r="B2348" s="1" t="s">
        <v>412</v>
      </c>
      <c r="C2348" s="1">
        <v>2018</v>
      </c>
      <c r="D2348" s="1">
        <v>3</v>
      </c>
      <c r="E2348" s="1">
        <v>3</v>
      </c>
      <c r="F2348" s="1">
        <v>3</v>
      </c>
      <c r="G2348" s="1">
        <v>0</v>
      </c>
      <c r="H2348" s="5">
        <v>0.77</v>
      </c>
      <c r="I2348" s="2">
        <f>1/1.3</f>
        <v>0.76923076923076916</v>
      </c>
      <c r="J2348" s="3">
        <v>1980</v>
      </c>
      <c r="K2348">
        <v>4.5431600201918219</v>
      </c>
      <c r="L2348">
        <v>3.1802120141342751</v>
      </c>
      <c r="M2348">
        <v>0.7</v>
      </c>
    </row>
    <row r="2349" spans="1:15" x14ac:dyDescent="0.25">
      <c r="A2349" s="8" t="s">
        <v>480</v>
      </c>
      <c r="B2349" s="1" t="s">
        <v>412</v>
      </c>
      <c r="C2349" s="1">
        <v>2014</v>
      </c>
      <c r="D2349" s="1">
        <v>4</v>
      </c>
      <c r="E2349" s="1">
        <v>5</v>
      </c>
      <c r="F2349" s="1">
        <v>4.5</v>
      </c>
      <c r="G2349" s="1">
        <v>1</v>
      </c>
      <c r="H2349" s="5">
        <v>1.17</v>
      </c>
      <c r="I2349" s="2">
        <f>1/1.09</f>
        <v>0.9174311926605504</v>
      </c>
      <c r="J2349" s="3">
        <v>918</v>
      </c>
      <c r="K2349">
        <v>6.4</v>
      </c>
      <c r="L2349">
        <v>4.1142857142857139</v>
      </c>
      <c r="M2349">
        <v>0.1</v>
      </c>
    </row>
    <row r="2350" spans="1:15" x14ac:dyDescent="0.25">
      <c r="A2350" s="8" t="s">
        <v>480</v>
      </c>
      <c r="B2350" s="1" t="s">
        <v>412</v>
      </c>
      <c r="C2350" s="1">
        <v>2015</v>
      </c>
      <c r="D2350" s="1">
        <v>4</v>
      </c>
      <c r="E2350" s="1">
        <v>5</v>
      </c>
      <c r="F2350" s="1">
        <v>4.5</v>
      </c>
      <c r="G2350" s="1">
        <v>1</v>
      </c>
      <c r="H2350" s="5">
        <v>2.13</v>
      </c>
      <c r="I2350" s="2">
        <f>1/0.38</f>
        <v>2.6315789473684212</v>
      </c>
      <c r="J2350" s="3">
        <v>929</v>
      </c>
      <c r="K2350">
        <v>6.4</v>
      </c>
      <c r="L2350">
        <v>4.1142857142857139</v>
      </c>
      <c r="M2350">
        <v>0.1</v>
      </c>
    </row>
    <row r="2351" spans="1:15" x14ac:dyDescent="0.25">
      <c r="A2351" t="s">
        <v>480</v>
      </c>
      <c r="B2351" s="1" t="s">
        <v>412</v>
      </c>
      <c r="C2351" s="1">
        <v>2016</v>
      </c>
      <c r="D2351" s="1">
        <v>4</v>
      </c>
      <c r="E2351" s="1">
        <v>5</v>
      </c>
      <c r="F2351" s="1">
        <v>4.5</v>
      </c>
      <c r="G2351" s="1">
        <v>1</v>
      </c>
      <c r="H2351" s="5">
        <v>1.05</v>
      </c>
      <c r="I2351" s="2">
        <f>1/0.84</f>
        <v>1.1904761904761905</v>
      </c>
      <c r="J2351" s="6">
        <v>875</v>
      </c>
      <c r="K2351" s="7">
        <v>6.4</v>
      </c>
      <c r="L2351" s="7">
        <v>4.1142857142857139</v>
      </c>
      <c r="M2351">
        <v>0.1</v>
      </c>
      <c r="O2351" s="7"/>
    </row>
    <row r="2352" spans="1:15" x14ac:dyDescent="0.25">
      <c r="A2352" t="s">
        <v>480</v>
      </c>
      <c r="B2352" s="1" t="s">
        <v>412</v>
      </c>
      <c r="C2352" s="1">
        <v>2017</v>
      </c>
      <c r="D2352" s="1">
        <v>4</v>
      </c>
      <c r="E2352" s="1">
        <v>5</v>
      </c>
      <c r="F2352" s="1">
        <v>4.5</v>
      </c>
      <c r="G2352" s="1">
        <v>1</v>
      </c>
      <c r="H2352" s="5">
        <v>1.34</v>
      </c>
      <c r="I2352" s="2">
        <f>1/0.94</f>
        <v>1.0638297872340425</v>
      </c>
      <c r="J2352">
        <v>880</v>
      </c>
      <c r="K2352">
        <v>6.4</v>
      </c>
      <c r="L2352">
        <v>4.1142857142857139</v>
      </c>
      <c r="M2352">
        <v>0.1</v>
      </c>
    </row>
    <row r="2353" spans="1:15" x14ac:dyDescent="0.25">
      <c r="A2353" s="8" t="s">
        <v>480</v>
      </c>
      <c r="B2353" s="1" t="s">
        <v>412</v>
      </c>
      <c r="C2353" s="1">
        <v>2018</v>
      </c>
      <c r="D2353" s="1">
        <v>4</v>
      </c>
      <c r="E2353" s="1">
        <v>5</v>
      </c>
      <c r="F2353" s="1">
        <v>4.5</v>
      </c>
      <c r="G2353" s="1">
        <v>1</v>
      </c>
      <c r="H2353" s="5">
        <v>1.33</v>
      </c>
      <c r="I2353" s="2">
        <f>1/1.24</f>
        <v>0.80645161290322587</v>
      </c>
      <c r="J2353" s="3">
        <v>870</v>
      </c>
      <c r="K2353">
        <v>6.4</v>
      </c>
      <c r="L2353">
        <v>4.1142857142857139</v>
      </c>
      <c r="M2353">
        <v>0.1</v>
      </c>
    </row>
    <row r="2354" spans="1:15" x14ac:dyDescent="0.25">
      <c r="A2354" s="8" t="s">
        <v>481</v>
      </c>
      <c r="B2354" s="1" t="s">
        <v>412</v>
      </c>
      <c r="C2354" s="1">
        <v>2014</v>
      </c>
      <c r="D2354" s="1">
        <v>4</v>
      </c>
      <c r="E2354" s="1">
        <v>4</v>
      </c>
      <c r="F2354" s="1">
        <v>4</v>
      </c>
      <c r="G2354" s="1">
        <v>0</v>
      </c>
      <c r="H2354" s="5">
        <v>1.61</v>
      </c>
      <c r="I2354" s="2">
        <f>1/1.49</f>
        <v>0.67114093959731547</v>
      </c>
      <c r="J2354" s="3">
        <v>440</v>
      </c>
      <c r="K2354">
        <v>3.132530120481928</v>
      </c>
      <c r="L2354">
        <v>0</v>
      </c>
      <c r="M2354">
        <v>0.2</v>
      </c>
    </row>
    <row r="2355" spans="1:15" x14ac:dyDescent="0.25">
      <c r="A2355" s="8" t="s">
        <v>481</v>
      </c>
      <c r="B2355" s="1" t="s">
        <v>412</v>
      </c>
      <c r="C2355" s="1">
        <v>2015</v>
      </c>
      <c r="D2355" s="1">
        <v>4</v>
      </c>
      <c r="E2355" s="1">
        <v>4</v>
      </c>
      <c r="F2355" s="1">
        <v>4</v>
      </c>
      <c r="G2355" s="1">
        <v>0</v>
      </c>
      <c r="H2355" s="5">
        <v>0.56999999999999995</v>
      </c>
      <c r="I2355" s="2">
        <f>1/0.77</f>
        <v>1.2987012987012987</v>
      </c>
      <c r="J2355" s="3">
        <v>437</v>
      </c>
      <c r="K2355">
        <v>3.132530120481928</v>
      </c>
      <c r="L2355">
        <v>0</v>
      </c>
      <c r="M2355">
        <v>0.2</v>
      </c>
    </row>
    <row r="2356" spans="1:15" x14ac:dyDescent="0.25">
      <c r="A2356" t="s">
        <v>481</v>
      </c>
      <c r="B2356" s="1" t="s">
        <v>412</v>
      </c>
      <c r="C2356" s="1">
        <v>2016</v>
      </c>
      <c r="D2356" s="1">
        <v>4</v>
      </c>
      <c r="E2356" s="1">
        <v>4</v>
      </c>
      <c r="F2356" s="1">
        <v>4</v>
      </c>
      <c r="G2356" s="1">
        <v>0</v>
      </c>
      <c r="H2356" s="5">
        <v>0.5</v>
      </c>
      <c r="I2356" s="2">
        <f>1/1.99</f>
        <v>0.50251256281407031</v>
      </c>
      <c r="J2356" s="6">
        <v>415</v>
      </c>
      <c r="K2356" s="7">
        <v>3.132530120481928</v>
      </c>
      <c r="L2356" s="7">
        <v>0</v>
      </c>
      <c r="M2356">
        <v>0.2</v>
      </c>
      <c r="O2356" s="7"/>
    </row>
    <row r="2357" spans="1:15" x14ac:dyDescent="0.25">
      <c r="A2357" t="s">
        <v>481</v>
      </c>
      <c r="B2357" s="1" t="s">
        <v>412</v>
      </c>
      <c r="C2357" s="1">
        <v>2017</v>
      </c>
      <c r="D2357" s="1">
        <v>4</v>
      </c>
      <c r="E2357" s="1">
        <v>4</v>
      </c>
      <c r="F2357" s="1">
        <v>4</v>
      </c>
      <c r="G2357" s="1">
        <v>0</v>
      </c>
      <c r="H2357" s="5">
        <v>0.31</v>
      </c>
      <c r="I2357" s="2">
        <f>1/0.87</f>
        <v>1.1494252873563218</v>
      </c>
      <c r="J2357">
        <v>420</v>
      </c>
      <c r="K2357">
        <v>3.132530120481928</v>
      </c>
      <c r="L2357">
        <v>0</v>
      </c>
      <c r="M2357">
        <v>0.1</v>
      </c>
    </row>
    <row r="2358" spans="1:15" x14ac:dyDescent="0.25">
      <c r="A2358" s="8" t="s">
        <v>481</v>
      </c>
      <c r="B2358" s="1" t="s">
        <v>412</v>
      </c>
      <c r="C2358" s="1">
        <v>2018</v>
      </c>
      <c r="D2358" s="1">
        <v>4</v>
      </c>
      <c r="E2358" s="1">
        <v>4</v>
      </c>
      <c r="F2358" s="1">
        <v>4</v>
      </c>
      <c r="G2358" s="1">
        <v>0</v>
      </c>
      <c r="H2358" s="5">
        <v>0.42</v>
      </c>
      <c r="I2358" s="2">
        <f>1/1.49</f>
        <v>0.67114093959731547</v>
      </c>
      <c r="J2358" s="3">
        <v>408</v>
      </c>
      <c r="K2358">
        <v>3.132530120481928</v>
      </c>
      <c r="L2358">
        <v>0</v>
      </c>
      <c r="M2358">
        <v>0.1</v>
      </c>
    </row>
    <row r="2359" spans="1:15" x14ac:dyDescent="0.25">
      <c r="A2359" s="8" t="s">
        <v>482</v>
      </c>
      <c r="B2359" s="1" t="s">
        <v>412</v>
      </c>
      <c r="C2359" s="1">
        <v>2014</v>
      </c>
      <c r="D2359" s="1">
        <v>4</v>
      </c>
      <c r="E2359" s="1">
        <v>4</v>
      </c>
      <c r="F2359" s="1">
        <v>4</v>
      </c>
      <c r="G2359" s="1">
        <v>0</v>
      </c>
      <c r="H2359" s="5">
        <v>2.85</v>
      </c>
      <c r="I2359" s="2">
        <f>1/1.34</f>
        <v>0.74626865671641784</v>
      </c>
      <c r="J2359" s="3">
        <v>804</v>
      </c>
      <c r="K2359">
        <v>3.0104712041884816</v>
      </c>
      <c r="L2359">
        <v>3.1413612565445024</v>
      </c>
      <c r="M2359">
        <v>0.2</v>
      </c>
    </row>
    <row r="2360" spans="1:15" x14ac:dyDescent="0.25">
      <c r="A2360" s="8" t="s">
        <v>482</v>
      </c>
      <c r="B2360" s="1" t="s">
        <v>412</v>
      </c>
      <c r="C2360" s="1">
        <v>2015</v>
      </c>
      <c r="D2360" s="1">
        <v>4</v>
      </c>
      <c r="E2360" s="1">
        <v>4</v>
      </c>
      <c r="F2360" s="1">
        <v>4</v>
      </c>
      <c r="G2360" s="1">
        <v>0</v>
      </c>
      <c r="H2360" s="5">
        <v>1.66</v>
      </c>
      <c r="I2360" s="2">
        <f>1/0.95</f>
        <v>1.0526315789473684</v>
      </c>
      <c r="J2360" s="3">
        <v>787</v>
      </c>
      <c r="K2360">
        <v>3.0104712041884816</v>
      </c>
      <c r="L2360">
        <v>3.1413612565445024</v>
      </c>
      <c r="M2360">
        <v>0.2</v>
      </c>
    </row>
    <row r="2361" spans="1:15" x14ac:dyDescent="0.25">
      <c r="A2361" t="s">
        <v>482</v>
      </c>
      <c r="B2361" s="1" t="s">
        <v>412</v>
      </c>
      <c r="C2361" s="1">
        <v>2016</v>
      </c>
      <c r="D2361" s="1">
        <v>4</v>
      </c>
      <c r="E2361" s="1">
        <v>4</v>
      </c>
      <c r="F2361" s="1">
        <v>4</v>
      </c>
      <c r="G2361" s="1">
        <v>0</v>
      </c>
      <c r="H2361" s="5">
        <v>1.26</v>
      </c>
      <c r="I2361" s="2">
        <f>1/1.39</f>
        <v>0.71942446043165476</v>
      </c>
      <c r="J2361" s="6">
        <v>764</v>
      </c>
      <c r="K2361" s="7">
        <v>3.0104712041884816</v>
      </c>
      <c r="L2361" s="7">
        <v>3.1413612565445024</v>
      </c>
      <c r="M2361">
        <v>0.2</v>
      </c>
      <c r="O2361" s="7"/>
    </row>
    <row r="2362" spans="1:15" x14ac:dyDescent="0.25">
      <c r="A2362" t="s">
        <v>482</v>
      </c>
      <c r="B2362" s="1" t="s">
        <v>412</v>
      </c>
      <c r="C2362" s="1">
        <v>2017</v>
      </c>
      <c r="D2362" s="1">
        <v>4</v>
      </c>
      <c r="E2362" s="1">
        <v>4</v>
      </c>
      <c r="F2362" s="1">
        <v>4</v>
      </c>
      <c r="G2362" s="1">
        <v>0</v>
      </c>
      <c r="H2362" s="5">
        <v>1.26</v>
      </c>
      <c r="I2362" s="2">
        <f>1/1.13</f>
        <v>0.88495575221238942</v>
      </c>
      <c r="J2362">
        <v>776</v>
      </c>
      <c r="K2362">
        <v>3.0104712041884816</v>
      </c>
      <c r="L2362">
        <v>3.1413612565445024</v>
      </c>
      <c r="M2362">
        <v>0.2</v>
      </c>
    </row>
    <row r="2363" spans="1:15" x14ac:dyDescent="0.25">
      <c r="A2363" s="8" t="s">
        <v>482</v>
      </c>
      <c r="B2363" s="1" t="s">
        <v>412</v>
      </c>
      <c r="C2363" s="1">
        <v>2018</v>
      </c>
      <c r="D2363" s="1">
        <v>4</v>
      </c>
      <c r="E2363" s="1">
        <v>4</v>
      </c>
      <c r="F2363" s="1">
        <v>4</v>
      </c>
      <c r="G2363" s="1">
        <v>0</v>
      </c>
      <c r="H2363" s="5">
        <v>0.74</v>
      </c>
      <c r="I2363" s="2">
        <f>1/1.46</f>
        <v>0.68493150684931503</v>
      </c>
      <c r="J2363" s="3">
        <v>774</v>
      </c>
      <c r="K2363">
        <v>3.0104712041884816</v>
      </c>
      <c r="L2363">
        <v>3.1413612565445024</v>
      </c>
      <c r="M2363">
        <v>0.2</v>
      </c>
    </row>
    <row r="2364" spans="1:15" x14ac:dyDescent="0.25">
      <c r="A2364" s="8" t="s">
        <v>483</v>
      </c>
      <c r="B2364" s="1" t="s">
        <v>412</v>
      </c>
      <c r="C2364" s="1">
        <v>2014</v>
      </c>
      <c r="D2364" s="1">
        <v>1</v>
      </c>
      <c r="E2364" s="1">
        <v>1</v>
      </c>
      <c r="F2364" s="1">
        <v>1</v>
      </c>
      <c r="G2364" s="1">
        <v>0</v>
      </c>
      <c r="H2364" s="5">
        <v>1.01</v>
      </c>
      <c r="I2364" s="2">
        <f>1/0.92</f>
        <v>1.0869565217391304</v>
      </c>
      <c r="J2364" s="3">
        <v>36444</v>
      </c>
      <c r="K2364">
        <v>3.6021684951568567</v>
      </c>
      <c r="L2364">
        <v>19.077104904807175</v>
      </c>
      <c r="M2364">
        <v>303.7</v>
      </c>
    </row>
    <row r="2365" spans="1:15" x14ac:dyDescent="0.25">
      <c r="A2365" s="8" t="s">
        <v>483</v>
      </c>
      <c r="B2365" s="1" t="s">
        <v>412</v>
      </c>
      <c r="C2365" s="1">
        <v>2015</v>
      </c>
      <c r="D2365" s="1">
        <v>1</v>
      </c>
      <c r="E2365" s="1">
        <v>1</v>
      </c>
      <c r="F2365" s="1">
        <v>1</v>
      </c>
      <c r="G2365" s="1">
        <v>0</v>
      </c>
      <c r="H2365" s="5">
        <v>1.1399999999999999</v>
      </c>
      <c r="I2365" s="2">
        <f>1/0.97</f>
        <v>1.0309278350515465</v>
      </c>
      <c r="J2365" s="3">
        <v>38153</v>
      </c>
      <c r="K2365">
        <v>3.6021684951568567</v>
      </c>
      <c r="L2365">
        <v>19.077104904807175</v>
      </c>
      <c r="M2365">
        <v>317.89999999999998</v>
      </c>
    </row>
    <row r="2366" spans="1:15" x14ac:dyDescent="0.25">
      <c r="A2366" t="s">
        <v>483</v>
      </c>
      <c r="B2366" s="1" t="s">
        <v>412</v>
      </c>
      <c r="C2366" s="1">
        <v>2016</v>
      </c>
      <c r="D2366" s="1">
        <v>1</v>
      </c>
      <c r="E2366" s="1">
        <v>1</v>
      </c>
      <c r="F2366" s="1">
        <v>1</v>
      </c>
      <c r="G2366" s="1">
        <v>0</v>
      </c>
      <c r="H2366" s="5">
        <v>0.55000000000000004</v>
      </c>
      <c r="I2366" s="2">
        <f>1/1.01</f>
        <v>0.99009900990099009</v>
      </c>
      <c r="J2366" s="6">
        <v>38921</v>
      </c>
      <c r="K2366" s="7">
        <v>3.6021684951568567</v>
      </c>
      <c r="L2366" s="7">
        <v>19.077104904807175</v>
      </c>
      <c r="M2366">
        <v>333.8</v>
      </c>
      <c r="O2366" s="7"/>
    </row>
    <row r="2367" spans="1:15" x14ac:dyDescent="0.25">
      <c r="A2367" t="s">
        <v>483</v>
      </c>
      <c r="B2367" s="1" t="s">
        <v>412</v>
      </c>
      <c r="C2367" s="1">
        <v>2017</v>
      </c>
      <c r="D2367" s="1">
        <v>1</v>
      </c>
      <c r="E2367" s="1">
        <v>1</v>
      </c>
      <c r="F2367" s="1">
        <v>1</v>
      </c>
      <c r="G2367" s="1">
        <v>0</v>
      </c>
      <c r="H2367" s="5">
        <v>0.31</v>
      </c>
      <c r="I2367" s="2">
        <f>1/1.1</f>
        <v>0.90909090909090906</v>
      </c>
      <c r="J2367">
        <v>41849</v>
      </c>
      <c r="K2367">
        <v>3.6021684951568567</v>
      </c>
      <c r="L2367">
        <v>19.077104904807175</v>
      </c>
      <c r="M2367">
        <v>348.7</v>
      </c>
    </row>
    <row r="2368" spans="1:15" x14ac:dyDescent="0.25">
      <c r="A2368" s="8" t="s">
        <v>483</v>
      </c>
      <c r="B2368" s="1" t="s">
        <v>412</v>
      </c>
      <c r="C2368" s="1">
        <v>2018</v>
      </c>
      <c r="D2368" s="1">
        <v>1</v>
      </c>
      <c r="E2368" s="1">
        <v>1</v>
      </c>
      <c r="F2368" s="1">
        <v>1</v>
      </c>
      <c r="G2368" s="1">
        <v>0</v>
      </c>
      <c r="H2368" s="5">
        <v>0.24</v>
      </c>
      <c r="I2368" s="2">
        <f>1/1.08</f>
        <v>0.92592592592592582</v>
      </c>
      <c r="J2368" s="3">
        <v>43511</v>
      </c>
      <c r="K2368">
        <v>3.6021684951568567</v>
      </c>
      <c r="L2368">
        <v>19.077104904807175</v>
      </c>
      <c r="M2368">
        <v>362.6</v>
      </c>
    </row>
    <row r="2369" spans="1:15" x14ac:dyDescent="0.25">
      <c r="A2369" s="8" t="s">
        <v>484</v>
      </c>
      <c r="B2369" s="1" t="s">
        <v>412</v>
      </c>
      <c r="C2369" s="1">
        <v>2014</v>
      </c>
      <c r="D2369" s="1">
        <v>4</v>
      </c>
      <c r="E2369" s="1">
        <v>4</v>
      </c>
      <c r="F2369" s="1">
        <v>4</v>
      </c>
      <c r="G2369" s="1">
        <v>0</v>
      </c>
      <c r="H2369" s="5">
        <v>0.62</v>
      </c>
      <c r="I2369" s="2">
        <f>1/1.34</f>
        <v>0.74626865671641784</v>
      </c>
      <c r="J2369" s="3">
        <v>1329</v>
      </c>
      <c r="K2369">
        <v>2.4486571879936809</v>
      </c>
      <c r="L2369">
        <v>4.5023696682464456</v>
      </c>
      <c r="M2369">
        <v>0.1</v>
      </c>
    </row>
    <row r="2370" spans="1:15" x14ac:dyDescent="0.25">
      <c r="A2370" s="8" t="s">
        <v>484</v>
      </c>
      <c r="B2370" s="1" t="s">
        <v>412</v>
      </c>
      <c r="C2370" s="1">
        <v>2015</v>
      </c>
      <c r="D2370" s="1">
        <v>4</v>
      </c>
      <c r="E2370" s="1">
        <v>4</v>
      </c>
      <c r="F2370" s="1">
        <v>4</v>
      </c>
      <c r="G2370" s="1">
        <v>0</v>
      </c>
      <c r="H2370" s="5">
        <v>1.25</v>
      </c>
      <c r="I2370" s="2">
        <f>1/0.74</f>
        <v>1.3513513513513513</v>
      </c>
      <c r="J2370" s="3">
        <v>1306</v>
      </c>
      <c r="K2370">
        <v>2.4486571879936809</v>
      </c>
      <c r="L2370">
        <v>4.5023696682464456</v>
      </c>
      <c r="M2370">
        <v>0.1</v>
      </c>
    </row>
    <row r="2371" spans="1:15" x14ac:dyDescent="0.25">
      <c r="A2371" t="s">
        <v>484</v>
      </c>
      <c r="B2371" s="1" t="s">
        <v>412</v>
      </c>
      <c r="C2371" s="1">
        <v>2016</v>
      </c>
      <c r="D2371" s="1">
        <v>4</v>
      </c>
      <c r="E2371" s="1">
        <v>4</v>
      </c>
      <c r="F2371" s="1">
        <v>4</v>
      </c>
      <c r="G2371" s="1">
        <v>0</v>
      </c>
      <c r="H2371" s="5">
        <v>0.93</v>
      </c>
      <c r="I2371" s="2">
        <f>1/1.29</f>
        <v>0.77519379844961234</v>
      </c>
      <c r="J2371" s="6">
        <v>1266</v>
      </c>
      <c r="K2371" s="7">
        <v>2.4486571879936809</v>
      </c>
      <c r="L2371" s="7">
        <v>4.5023696682464456</v>
      </c>
      <c r="M2371">
        <v>0.1</v>
      </c>
      <c r="O2371" s="7"/>
    </row>
    <row r="2372" spans="1:15" x14ac:dyDescent="0.25">
      <c r="A2372" t="s">
        <v>484</v>
      </c>
      <c r="B2372" s="1" t="s">
        <v>412</v>
      </c>
      <c r="C2372" s="1">
        <v>2017</v>
      </c>
      <c r="D2372" s="1">
        <v>4</v>
      </c>
      <c r="E2372" s="1">
        <v>4</v>
      </c>
      <c r="F2372" s="1">
        <v>4</v>
      </c>
      <c r="G2372" s="1">
        <v>0</v>
      </c>
      <c r="H2372" s="5">
        <v>0.76</v>
      </c>
      <c r="I2372" s="2">
        <f>1/0.82</f>
        <v>1.2195121951219512</v>
      </c>
      <c r="J2372">
        <v>1291</v>
      </c>
      <c r="K2372">
        <v>2.4486571879936809</v>
      </c>
      <c r="L2372">
        <v>4.5023696682464456</v>
      </c>
      <c r="M2372">
        <v>0.1</v>
      </c>
    </row>
    <row r="2373" spans="1:15" x14ac:dyDescent="0.25">
      <c r="A2373" s="8" t="s">
        <v>484</v>
      </c>
      <c r="B2373" s="1" t="s">
        <v>412</v>
      </c>
      <c r="C2373" s="1">
        <v>2018</v>
      </c>
      <c r="D2373" s="1">
        <v>4</v>
      </c>
      <c r="E2373" s="1">
        <v>4</v>
      </c>
      <c r="F2373" s="1">
        <v>4</v>
      </c>
      <c r="G2373" s="1">
        <v>0</v>
      </c>
      <c r="H2373" s="5">
        <v>0.66</v>
      </c>
      <c r="I2373" s="2">
        <f>1/0.99</f>
        <v>1.0101010101010102</v>
      </c>
      <c r="J2373" s="3">
        <v>1282</v>
      </c>
      <c r="K2373">
        <v>2.4486571879936809</v>
      </c>
      <c r="L2373">
        <v>4.5023696682464456</v>
      </c>
      <c r="M2373">
        <v>0.1</v>
      </c>
    </row>
    <row r="2374" spans="1:15" x14ac:dyDescent="0.25">
      <c r="A2374" s="8" t="s">
        <v>485</v>
      </c>
      <c r="B2374" s="1" t="s">
        <v>412</v>
      </c>
      <c r="C2374" s="1">
        <v>2014</v>
      </c>
      <c r="D2374" s="1">
        <v>5</v>
      </c>
      <c r="E2374" s="1">
        <v>5</v>
      </c>
      <c r="F2374" s="1">
        <v>5</v>
      </c>
      <c r="G2374" s="1">
        <v>0</v>
      </c>
      <c r="H2374" s="5">
        <v>0.49</v>
      </c>
      <c r="I2374" s="2">
        <f>1/1.15</f>
        <v>0.86956521739130443</v>
      </c>
      <c r="J2374" s="3">
        <v>1367</v>
      </c>
      <c r="K2374">
        <v>26.903114186851212</v>
      </c>
      <c r="L2374">
        <v>18.166089965397923</v>
      </c>
      <c r="M2374">
        <v>0</v>
      </c>
    </row>
    <row r="2375" spans="1:15" x14ac:dyDescent="0.25">
      <c r="A2375" s="8" t="s">
        <v>485</v>
      </c>
      <c r="B2375" s="1" t="s">
        <v>412</v>
      </c>
      <c r="C2375" s="1">
        <v>2015</v>
      </c>
      <c r="D2375" s="1">
        <v>5</v>
      </c>
      <c r="E2375" s="1">
        <v>5</v>
      </c>
      <c r="F2375" s="1">
        <v>5</v>
      </c>
      <c r="G2375" s="1">
        <v>0</v>
      </c>
      <c r="H2375" s="5">
        <v>1.1100000000000001</v>
      </c>
      <c r="I2375" s="2">
        <f>1/0.93</f>
        <v>1.075268817204301</v>
      </c>
      <c r="J2375" s="3">
        <v>1299</v>
      </c>
      <c r="K2375">
        <v>26.903114186851212</v>
      </c>
      <c r="L2375">
        <v>18.166089965397923</v>
      </c>
      <c r="M2375">
        <v>0</v>
      </c>
    </row>
    <row r="2376" spans="1:15" x14ac:dyDescent="0.25">
      <c r="A2376" t="s">
        <v>485</v>
      </c>
      <c r="B2376" s="1" t="s">
        <v>412</v>
      </c>
      <c r="C2376" s="1">
        <v>2016</v>
      </c>
      <c r="D2376" s="1">
        <v>5</v>
      </c>
      <c r="E2376" s="1">
        <v>5</v>
      </c>
      <c r="F2376" s="1">
        <v>5</v>
      </c>
      <c r="G2376" s="1">
        <v>0</v>
      </c>
      <c r="H2376" s="5">
        <v>1.08</v>
      </c>
      <c r="I2376" s="2">
        <f>1/1.83</f>
        <v>0.54644808743169393</v>
      </c>
      <c r="J2376" s="6">
        <v>1156</v>
      </c>
      <c r="K2376" s="7">
        <v>26.903114186851212</v>
      </c>
      <c r="L2376" s="7">
        <v>18.166089965397923</v>
      </c>
      <c r="M2376">
        <v>0</v>
      </c>
      <c r="O2376" s="7"/>
    </row>
    <row r="2377" spans="1:15" x14ac:dyDescent="0.25">
      <c r="A2377" t="s">
        <v>485</v>
      </c>
      <c r="B2377" s="1" t="s">
        <v>412</v>
      </c>
      <c r="C2377" s="1">
        <v>2017</v>
      </c>
      <c r="D2377" s="1">
        <v>5</v>
      </c>
      <c r="E2377" s="1">
        <v>5</v>
      </c>
      <c r="F2377" s="1">
        <v>5</v>
      </c>
      <c r="G2377" s="1">
        <v>0</v>
      </c>
      <c r="H2377" s="5">
        <v>2.13</v>
      </c>
      <c r="I2377" s="2">
        <f>1/0.79</f>
        <v>1.2658227848101264</v>
      </c>
      <c r="J2377">
        <v>1216</v>
      </c>
      <c r="K2377">
        <v>26.903114186851212</v>
      </c>
      <c r="L2377">
        <v>18.166089965397923</v>
      </c>
      <c r="M2377">
        <v>0</v>
      </c>
    </row>
    <row r="2378" spans="1:15" x14ac:dyDescent="0.25">
      <c r="A2378" s="8" t="s">
        <v>485</v>
      </c>
      <c r="B2378" s="1" t="s">
        <v>412</v>
      </c>
      <c r="C2378" s="1">
        <v>2018</v>
      </c>
      <c r="D2378" s="1">
        <v>5</v>
      </c>
      <c r="E2378" s="1">
        <v>5</v>
      </c>
      <c r="F2378" s="1">
        <v>5</v>
      </c>
      <c r="G2378" s="1">
        <v>0</v>
      </c>
      <c r="H2378" s="5">
        <v>7.65</v>
      </c>
      <c r="I2378" s="2">
        <f>1/1.59</f>
        <v>0.62893081761006286</v>
      </c>
      <c r="J2378" s="3">
        <v>1206</v>
      </c>
      <c r="K2378">
        <v>26.903114186851212</v>
      </c>
      <c r="L2378">
        <v>18.166089965397923</v>
      </c>
      <c r="M2378">
        <v>0</v>
      </c>
    </row>
    <row r="2379" spans="1:15" x14ac:dyDescent="0.25">
      <c r="A2379" s="8" t="s">
        <v>486</v>
      </c>
      <c r="B2379" s="1" t="s">
        <v>412</v>
      </c>
      <c r="C2379" s="1">
        <v>2014</v>
      </c>
      <c r="D2379" s="1">
        <v>5</v>
      </c>
      <c r="E2379" s="1">
        <v>5</v>
      </c>
      <c r="F2379" s="1">
        <v>5</v>
      </c>
      <c r="G2379" s="1">
        <v>0</v>
      </c>
      <c r="H2379" s="5">
        <v>0.51</v>
      </c>
      <c r="I2379" s="2">
        <f>1/1.29</f>
        <v>0.77519379844961234</v>
      </c>
      <c r="J2379" s="3">
        <v>2122</v>
      </c>
      <c r="K2379">
        <v>14.224751066856332</v>
      </c>
      <c r="L2379">
        <v>7.7524893314367</v>
      </c>
      <c r="M2379">
        <v>0.1</v>
      </c>
    </row>
    <row r="2380" spans="1:15" x14ac:dyDescent="0.25">
      <c r="A2380" s="8" t="s">
        <v>486</v>
      </c>
      <c r="B2380" s="1" t="s">
        <v>412</v>
      </c>
      <c r="C2380" s="1">
        <v>2015</v>
      </c>
      <c r="D2380" s="1">
        <v>5</v>
      </c>
      <c r="E2380" s="1">
        <v>5</v>
      </c>
      <c r="F2380" s="1">
        <v>5</v>
      </c>
      <c r="G2380" s="1">
        <v>0</v>
      </c>
      <c r="H2380" s="5">
        <v>0.34</v>
      </c>
      <c r="I2380" s="2">
        <f>1/1.3</f>
        <v>0.76923076923076916</v>
      </c>
      <c r="J2380" s="3">
        <v>1812</v>
      </c>
      <c r="K2380">
        <v>14.224751066856332</v>
      </c>
      <c r="L2380">
        <v>7.7524893314367</v>
      </c>
      <c r="M2380">
        <v>0.1</v>
      </c>
    </row>
    <row r="2381" spans="1:15" x14ac:dyDescent="0.25">
      <c r="A2381" t="s">
        <v>486</v>
      </c>
      <c r="B2381" s="1" t="s">
        <v>412</v>
      </c>
      <c r="C2381" s="1">
        <v>2016</v>
      </c>
      <c r="D2381" s="1">
        <v>5</v>
      </c>
      <c r="E2381" s="1">
        <v>5</v>
      </c>
      <c r="F2381" s="1">
        <v>5</v>
      </c>
      <c r="G2381" s="1">
        <v>0</v>
      </c>
      <c r="H2381" s="5">
        <v>0.82</v>
      </c>
      <c r="I2381" s="2">
        <f>1/0.95</f>
        <v>1.0526315789473684</v>
      </c>
      <c r="J2381" s="6">
        <v>1406</v>
      </c>
      <c r="K2381" s="7">
        <v>14.224751066856332</v>
      </c>
      <c r="L2381" s="7">
        <v>7.7524893314367</v>
      </c>
      <c r="M2381">
        <v>0</v>
      </c>
      <c r="O2381" s="7"/>
    </row>
    <row r="2382" spans="1:15" x14ac:dyDescent="0.25">
      <c r="A2382" t="s">
        <v>486</v>
      </c>
      <c r="B2382" s="1" t="s">
        <v>412</v>
      </c>
      <c r="C2382" s="1">
        <v>2017</v>
      </c>
      <c r="D2382" s="1">
        <v>5</v>
      </c>
      <c r="E2382" s="1">
        <v>5</v>
      </c>
      <c r="F2382" s="1">
        <v>5</v>
      </c>
      <c r="G2382" s="1">
        <v>0</v>
      </c>
      <c r="H2382" s="5">
        <v>1.33</v>
      </c>
      <c r="I2382" s="2">
        <f>1/1.03</f>
        <v>0.970873786407767</v>
      </c>
      <c r="J2382">
        <v>1508</v>
      </c>
      <c r="K2382">
        <v>14.224751066856332</v>
      </c>
      <c r="L2382">
        <v>7.7524893314367</v>
      </c>
      <c r="M2382">
        <v>0</v>
      </c>
    </row>
    <row r="2383" spans="1:15" x14ac:dyDescent="0.25">
      <c r="A2383" s="8" t="s">
        <v>486</v>
      </c>
      <c r="B2383" s="1" t="s">
        <v>412</v>
      </c>
      <c r="C2383" s="1">
        <v>2018</v>
      </c>
      <c r="D2383" s="1">
        <v>5</v>
      </c>
      <c r="E2383" s="1">
        <v>5</v>
      </c>
      <c r="F2383" s="1">
        <v>5</v>
      </c>
      <c r="G2383" s="1">
        <v>0</v>
      </c>
      <c r="H2383" s="5">
        <v>1.84</v>
      </c>
      <c r="I2383" s="2">
        <f>1/1.11</f>
        <v>0.9009009009009008</v>
      </c>
      <c r="J2383" s="3">
        <v>1529</v>
      </c>
      <c r="K2383">
        <v>14.224751066856332</v>
      </c>
      <c r="L2383">
        <v>7.7524893314367</v>
      </c>
      <c r="M2383">
        <v>0</v>
      </c>
    </row>
    <row r="2384" spans="1:15" x14ac:dyDescent="0.25">
      <c r="A2384" s="8" t="s">
        <v>487</v>
      </c>
      <c r="B2384" s="1" t="s">
        <v>412</v>
      </c>
      <c r="C2384" s="1">
        <v>2014</v>
      </c>
      <c r="D2384" s="1">
        <v>1</v>
      </c>
      <c r="E2384" s="1">
        <v>2</v>
      </c>
      <c r="F2384" s="1">
        <v>1.5</v>
      </c>
      <c r="G2384" s="1">
        <v>1</v>
      </c>
      <c r="H2384" s="5">
        <v>0.39</v>
      </c>
      <c r="I2384" s="2">
        <f>1/1.09</f>
        <v>0.9174311926605504</v>
      </c>
      <c r="J2384" s="3">
        <v>80927</v>
      </c>
      <c r="K2384">
        <v>2.12973962973963</v>
      </c>
      <c r="L2384">
        <v>6.7480942480942483</v>
      </c>
      <c r="M2384">
        <v>462.7</v>
      </c>
    </row>
    <row r="2385" spans="1:15" x14ac:dyDescent="0.25">
      <c r="A2385" s="8" t="s">
        <v>487</v>
      </c>
      <c r="B2385" s="1" t="s">
        <v>412</v>
      </c>
      <c r="C2385" s="1">
        <v>2015</v>
      </c>
      <c r="D2385" s="1">
        <v>1</v>
      </c>
      <c r="E2385" s="1">
        <v>2</v>
      </c>
      <c r="F2385" s="1">
        <v>1.5</v>
      </c>
      <c r="G2385" s="1">
        <v>1</v>
      </c>
      <c r="H2385" s="5">
        <v>0.78</v>
      </c>
      <c r="I2385" s="2">
        <f>1/1.26</f>
        <v>0.79365079365079361</v>
      </c>
      <c r="J2385" s="3">
        <v>82202</v>
      </c>
      <c r="K2385">
        <v>2.12973962973963</v>
      </c>
      <c r="L2385">
        <v>6.7480942480942483</v>
      </c>
      <c r="M2385">
        <v>470</v>
      </c>
    </row>
    <row r="2386" spans="1:15" x14ac:dyDescent="0.25">
      <c r="A2386" t="s">
        <v>487</v>
      </c>
      <c r="B2386" s="1" t="s">
        <v>412</v>
      </c>
      <c r="C2386" s="1">
        <v>2016</v>
      </c>
      <c r="D2386" s="1">
        <v>1</v>
      </c>
      <c r="E2386" s="1">
        <v>2</v>
      </c>
      <c r="F2386" s="1">
        <v>1.5</v>
      </c>
      <c r="G2386" s="1">
        <v>1</v>
      </c>
      <c r="H2386" s="5">
        <v>1.01</v>
      </c>
      <c r="I2386" s="2">
        <f>1/1.17</f>
        <v>0.85470085470085477</v>
      </c>
      <c r="J2386" s="6">
        <v>80808</v>
      </c>
      <c r="K2386" s="7">
        <v>2.12973962973963</v>
      </c>
      <c r="L2386" s="7">
        <v>6.7480942480942483</v>
      </c>
      <c r="M2386">
        <v>476.4</v>
      </c>
      <c r="O2386" s="7"/>
    </row>
    <row r="2387" spans="1:15" x14ac:dyDescent="0.25">
      <c r="A2387" t="s">
        <v>487</v>
      </c>
      <c r="B2387" s="1" t="s">
        <v>412</v>
      </c>
      <c r="C2387" s="1">
        <v>2017</v>
      </c>
      <c r="D2387" s="1">
        <v>1</v>
      </c>
      <c r="E2387" s="1">
        <v>2</v>
      </c>
      <c r="F2387" s="1">
        <v>1.5</v>
      </c>
      <c r="G2387" s="1">
        <v>1</v>
      </c>
      <c r="H2387" s="5">
        <v>1.1200000000000001</v>
      </c>
      <c r="I2387" s="2">
        <f>1/1.11</f>
        <v>0.9009009009009008</v>
      </c>
      <c r="J2387">
        <v>84196</v>
      </c>
      <c r="K2387">
        <v>2.12973962973963</v>
      </c>
      <c r="L2387">
        <v>6.7480942480942483</v>
      </c>
      <c r="M2387">
        <v>481.4</v>
      </c>
    </row>
    <row r="2388" spans="1:15" x14ac:dyDescent="0.25">
      <c r="A2388" s="8" t="s">
        <v>487</v>
      </c>
      <c r="B2388" s="1" t="s">
        <v>412</v>
      </c>
      <c r="C2388" s="1">
        <v>2018</v>
      </c>
      <c r="D2388" s="1">
        <v>1</v>
      </c>
      <c r="E2388" s="1">
        <v>2</v>
      </c>
      <c r="F2388" s="1">
        <v>1.5</v>
      </c>
      <c r="G2388" s="1">
        <v>1</v>
      </c>
      <c r="H2388" s="5">
        <v>0.54</v>
      </c>
      <c r="I2388" s="2">
        <f>1/1.09</f>
        <v>0.9174311926605504</v>
      </c>
      <c r="J2388" s="3">
        <v>85302</v>
      </c>
      <c r="K2388">
        <v>2.12973962973963</v>
      </c>
      <c r="L2388">
        <v>6.7480942480942483</v>
      </c>
      <c r="M2388">
        <v>487.7</v>
      </c>
    </row>
    <row r="2389" spans="1:15" x14ac:dyDescent="0.25">
      <c r="A2389" s="8" t="s">
        <v>488</v>
      </c>
      <c r="B2389" s="1" t="s">
        <v>412</v>
      </c>
      <c r="C2389" s="1">
        <v>2014</v>
      </c>
      <c r="D2389" s="1">
        <v>2</v>
      </c>
      <c r="E2389" s="1">
        <v>2</v>
      </c>
      <c r="F2389" s="1">
        <v>2</v>
      </c>
      <c r="G2389" s="1">
        <v>0</v>
      </c>
      <c r="H2389" s="5">
        <v>0.49</v>
      </c>
      <c r="I2389" s="2">
        <f>1/2.14</f>
        <v>0.46728971962616822</v>
      </c>
      <c r="J2389" s="3">
        <v>9448</v>
      </c>
      <c r="K2389">
        <v>3.2421917216038043</v>
      </c>
      <c r="L2389">
        <v>5.5009186209877878</v>
      </c>
      <c r="M2389">
        <v>1.3</v>
      </c>
    </row>
    <row r="2390" spans="1:15" x14ac:dyDescent="0.25">
      <c r="A2390" s="8" t="s">
        <v>488</v>
      </c>
      <c r="B2390" s="1" t="s">
        <v>412</v>
      </c>
      <c r="C2390" s="1">
        <v>2015</v>
      </c>
      <c r="D2390" s="1">
        <v>2</v>
      </c>
      <c r="E2390" s="1">
        <v>2</v>
      </c>
      <c r="F2390" s="1">
        <v>2</v>
      </c>
      <c r="G2390" s="1">
        <v>0</v>
      </c>
      <c r="H2390" s="5">
        <v>0.49</v>
      </c>
      <c r="I2390" s="2">
        <f>1/1.39</f>
        <v>0.71942446043165476</v>
      </c>
      <c r="J2390" s="3">
        <v>9402</v>
      </c>
      <c r="K2390">
        <v>3.2421917216038043</v>
      </c>
      <c r="L2390">
        <v>5.5009186209877878</v>
      </c>
      <c r="M2390">
        <v>1.3</v>
      </c>
    </row>
    <row r="2391" spans="1:15" x14ac:dyDescent="0.25">
      <c r="A2391" t="s">
        <v>488</v>
      </c>
      <c r="B2391" s="1" t="s">
        <v>412</v>
      </c>
      <c r="C2391" s="1">
        <v>2016</v>
      </c>
      <c r="D2391" s="1">
        <v>2</v>
      </c>
      <c r="E2391" s="1">
        <v>2</v>
      </c>
      <c r="F2391" s="1">
        <v>2</v>
      </c>
      <c r="G2391" s="1">
        <v>0</v>
      </c>
      <c r="H2391" s="5">
        <v>0.36</v>
      </c>
      <c r="I2391" s="2">
        <f>1/1.91</f>
        <v>0.52356020942408377</v>
      </c>
      <c r="J2391" s="6">
        <v>9253</v>
      </c>
      <c r="K2391" s="7">
        <v>3.2421917216038043</v>
      </c>
      <c r="L2391" s="7">
        <v>5.5009186209877878</v>
      </c>
      <c r="M2391">
        <v>1.3</v>
      </c>
      <c r="O2391" s="7"/>
    </row>
    <row r="2392" spans="1:15" x14ac:dyDescent="0.25">
      <c r="A2392" t="s">
        <v>488</v>
      </c>
      <c r="B2392" s="1" t="s">
        <v>412</v>
      </c>
      <c r="C2392" s="1">
        <v>2017</v>
      </c>
      <c r="D2392" s="1">
        <v>2</v>
      </c>
      <c r="E2392" s="1">
        <v>2</v>
      </c>
      <c r="F2392" s="1">
        <v>2</v>
      </c>
      <c r="G2392" s="1">
        <v>0</v>
      </c>
      <c r="H2392" s="5">
        <v>0.87</v>
      </c>
      <c r="I2392" s="2">
        <f>1/1.57</f>
        <v>0.63694267515923564</v>
      </c>
      <c r="J2392">
        <v>9255</v>
      </c>
      <c r="K2392">
        <v>3.2421917216038043</v>
      </c>
      <c r="L2392">
        <v>5.5009186209877878</v>
      </c>
      <c r="M2392">
        <v>1.3</v>
      </c>
    </row>
    <row r="2393" spans="1:15" x14ac:dyDescent="0.25">
      <c r="A2393" s="8" t="s">
        <v>488</v>
      </c>
      <c r="B2393" s="1" t="s">
        <v>412</v>
      </c>
      <c r="C2393" s="1">
        <v>2018</v>
      </c>
      <c r="D2393" s="1">
        <v>2</v>
      </c>
      <c r="E2393" s="1">
        <v>2</v>
      </c>
      <c r="F2393" s="1">
        <v>2</v>
      </c>
      <c r="G2393" s="1">
        <v>0</v>
      </c>
      <c r="H2393" s="5">
        <v>0.93</v>
      </c>
      <c r="I2393" s="2">
        <f>1/1.49</f>
        <v>0.67114093959731547</v>
      </c>
      <c r="J2393" s="3">
        <v>9159</v>
      </c>
      <c r="K2393">
        <v>3.2421917216038043</v>
      </c>
      <c r="L2393">
        <v>5.5009186209877878</v>
      </c>
      <c r="M2393">
        <v>1.3</v>
      </c>
    </row>
    <row r="2394" spans="1:15" x14ac:dyDescent="0.25">
      <c r="A2394" s="8" t="s">
        <v>489</v>
      </c>
      <c r="B2394" s="1" t="s">
        <v>412</v>
      </c>
      <c r="C2394" s="1">
        <v>2014</v>
      </c>
      <c r="D2394" s="1">
        <v>5</v>
      </c>
      <c r="E2394" s="1">
        <v>5</v>
      </c>
      <c r="F2394" s="1">
        <v>5</v>
      </c>
      <c r="G2394" s="1">
        <v>0</v>
      </c>
      <c r="H2394" s="5">
        <v>3.56</v>
      </c>
      <c r="I2394" s="2">
        <f>1/0.25</f>
        <v>4</v>
      </c>
      <c r="J2394" s="3">
        <v>1335</v>
      </c>
      <c r="K2394">
        <v>30.393996247654787</v>
      </c>
      <c r="L2394">
        <v>6.5666041275797378</v>
      </c>
      <c r="M2394">
        <v>0</v>
      </c>
    </row>
    <row r="2395" spans="1:15" x14ac:dyDescent="0.25">
      <c r="A2395" s="8" t="s">
        <v>489</v>
      </c>
      <c r="B2395" s="1" t="s">
        <v>412</v>
      </c>
      <c r="C2395" s="1">
        <v>2015</v>
      </c>
      <c r="D2395" s="1">
        <v>5</v>
      </c>
      <c r="E2395" s="1">
        <v>5</v>
      </c>
      <c r="F2395" s="1">
        <v>5</v>
      </c>
      <c r="G2395" s="1">
        <v>0</v>
      </c>
      <c r="H2395" s="5">
        <v>1.01</v>
      </c>
      <c r="I2395" s="2">
        <f>1/0.41</f>
        <v>2.4390243902439024</v>
      </c>
      <c r="J2395" s="3">
        <v>1224</v>
      </c>
      <c r="K2395">
        <v>30.393996247654787</v>
      </c>
      <c r="L2395">
        <v>6.5666041275797378</v>
      </c>
      <c r="M2395">
        <v>0</v>
      </c>
    </row>
    <row r="2396" spans="1:15" x14ac:dyDescent="0.25">
      <c r="A2396" t="s">
        <v>489</v>
      </c>
      <c r="B2396" s="1" t="s">
        <v>412</v>
      </c>
      <c r="C2396" s="1">
        <v>2016</v>
      </c>
      <c r="D2396" s="1">
        <v>5</v>
      </c>
      <c r="E2396" s="1">
        <v>5</v>
      </c>
      <c r="F2396" s="1">
        <v>5</v>
      </c>
      <c r="G2396" s="1">
        <v>0</v>
      </c>
      <c r="H2396" s="5">
        <v>1.54</v>
      </c>
      <c r="I2396" s="2">
        <f>1/1.27</f>
        <v>0.78740157480314954</v>
      </c>
      <c r="J2396" s="6">
        <v>1066</v>
      </c>
      <c r="K2396" s="7">
        <v>30.393996247654787</v>
      </c>
      <c r="L2396" s="7">
        <v>6.5666041275797378</v>
      </c>
      <c r="M2396">
        <v>0</v>
      </c>
      <c r="O2396" s="7"/>
    </row>
    <row r="2397" spans="1:15" x14ac:dyDescent="0.25">
      <c r="A2397" t="s">
        <v>489</v>
      </c>
      <c r="B2397" s="1" t="s">
        <v>412</v>
      </c>
      <c r="C2397" s="1">
        <v>2017</v>
      </c>
      <c r="D2397" s="1">
        <v>5</v>
      </c>
      <c r="E2397" s="1">
        <v>5</v>
      </c>
      <c r="F2397" s="1">
        <v>5</v>
      </c>
      <c r="G2397" s="1">
        <v>0</v>
      </c>
      <c r="H2397" s="5">
        <v>1.1299999999999999</v>
      </c>
      <c r="I2397" s="2">
        <f>1/0.84</f>
        <v>1.1904761904761905</v>
      </c>
      <c r="J2397">
        <v>1058</v>
      </c>
      <c r="K2397">
        <v>30.393996247654787</v>
      </c>
      <c r="L2397">
        <v>6.5666041275797378</v>
      </c>
      <c r="M2397">
        <v>0</v>
      </c>
    </row>
    <row r="2398" spans="1:15" x14ac:dyDescent="0.25">
      <c r="A2398" s="8" t="s">
        <v>489</v>
      </c>
      <c r="B2398" s="1" t="s">
        <v>412</v>
      </c>
      <c r="C2398" s="1">
        <v>2018</v>
      </c>
      <c r="D2398" s="1">
        <v>5</v>
      </c>
      <c r="E2398" s="1">
        <v>5</v>
      </c>
      <c r="F2398" s="1">
        <v>5</v>
      </c>
      <c r="G2398" s="1">
        <v>0</v>
      </c>
      <c r="H2398" s="5">
        <v>1.37</v>
      </c>
      <c r="I2398" s="2">
        <f>1/1.03</f>
        <v>0.970873786407767</v>
      </c>
      <c r="J2398" s="3">
        <v>1008</v>
      </c>
      <c r="K2398">
        <v>30.393996247654787</v>
      </c>
      <c r="L2398">
        <v>6.5666041275797378</v>
      </c>
      <c r="M2398">
        <v>0</v>
      </c>
    </row>
    <row r="2399" spans="1:15" x14ac:dyDescent="0.25">
      <c r="A2399" s="8" t="s">
        <v>490</v>
      </c>
      <c r="B2399" s="1" t="s">
        <v>412</v>
      </c>
      <c r="C2399" s="1">
        <v>2014</v>
      </c>
      <c r="D2399" s="1">
        <v>1</v>
      </c>
      <c r="E2399" s="1">
        <v>1</v>
      </c>
      <c r="F2399" s="1">
        <v>1</v>
      </c>
      <c r="G2399" s="1">
        <v>0</v>
      </c>
      <c r="H2399" s="5">
        <v>1.19</v>
      </c>
      <c r="I2399" s="2">
        <f>1/1.12</f>
        <v>0.89285714285714279</v>
      </c>
      <c r="J2399" s="3">
        <v>104073</v>
      </c>
      <c r="K2399">
        <v>0.69843794608262977</v>
      </c>
      <c r="L2399">
        <v>19.89885394999796</v>
      </c>
      <c r="M2399">
        <v>1969.2</v>
      </c>
    </row>
    <row r="2400" spans="1:15" x14ac:dyDescent="0.25">
      <c r="A2400" s="8" t="s">
        <v>490</v>
      </c>
      <c r="B2400" s="1" t="s">
        <v>412</v>
      </c>
      <c r="C2400" s="1">
        <v>2015</v>
      </c>
      <c r="D2400" s="1">
        <v>1</v>
      </c>
      <c r="E2400" s="1">
        <v>1</v>
      </c>
      <c r="F2400" s="1">
        <v>1</v>
      </c>
      <c r="G2400" s="1">
        <v>0</v>
      </c>
      <c r="H2400" s="5">
        <v>1.45</v>
      </c>
      <c r="I2400" s="2">
        <f>1/1.18</f>
        <v>0.84745762711864414</v>
      </c>
      <c r="J2400" s="3">
        <v>103522</v>
      </c>
      <c r="K2400">
        <v>0.69843794608262977</v>
      </c>
      <c r="L2400">
        <v>19.89885394999796</v>
      </c>
      <c r="M2400">
        <v>1958.8</v>
      </c>
    </row>
    <row r="2401" spans="1:15" x14ac:dyDescent="0.25">
      <c r="A2401" t="s">
        <v>490</v>
      </c>
      <c r="B2401" s="1" t="s">
        <v>412</v>
      </c>
      <c r="C2401" s="1">
        <v>2016</v>
      </c>
      <c r="D2401" s="1">
        <v>1</v>
      </c>
      <c r="E2401" s="1">
        <v>1</v>
      </c>
      <c r="F2401" s="1">
        <v>1</v>
      </c>
      <c r="G2401" s="1">
        <v>0</v>
      </c>
      <c r="H2401" s="5">
        <v>1.35</v>
      </c>
      <c r="I2401" s="2">
        <f>1/1.17</f>
        <v>0.85470085470085477</v>
      </c>
      <c r="J2401" s="6">
        <v>98076</v>
      </c>
      <c r="K2401" s="7">
        <v>0.69843794608262977</v>
      </c>
      <c r="L2401" s="7">
        <v>19.89885394999796</v>
      </c>
      <c r="M2401">
        <v>1936.4</v>
      </c>
      <c r="O2401" s="7"/>
    </row>
    <row r="2402" spans="1:15" x14ac:dyDescent="0.25">
      <c r="A2402" t="s">
        <v>490</v>
      </c>
      <c r="B2402" s="1" t="s">
        <v>412</v>
      </c>
      <c r="C2402" s="1">
        <v>2017</v>
      </c>
      <c r="D2402" s="1">
        <v>1</v>
      </c>
      <c r="E2402" s="1">
        <v>1</v>
      </c>
      <c r="F2402" s="1">
        <v>1</v>
      </c>
      <c r="G2402" s="1">
        <v>0</v>
      </c>
      <c r="H2402" s="5">
        <v>1.28</v>
      </c>
      <c r="I2402" s="2">
        <f>1/1.16</f>
        <v>0.86206896551724144</v>
      </c>
      <c r="J2402">
        <v>102076</v>
      </c>
      <c r="K2402">
        <v>0.69843794608262977</v>
      </c>
      <c r="L2402">
        <v>19.89885394999796</v>
      </c>
      <c r="M2402">
        <v>1931.4</v>
      </c>
    </row>
    <row r="2403" spans="1:15" x14ac:dyDescent="0.25">
      <c r="A2403" s="8" t="s">
        <v>490</v>
      </c>
      <c r="B2403" s="1" t="s">
        <v>412</v>
      </c>
      <c r="C2403" s="1">
        <v>2018</v>
      </c>
      <c r="D2403" s="1">
        <v>1</v>
      </c>
      <c r="E2403" s="1">
        <v>1</v>
      </c>
      <c r="F2403" s="1">
        <v>1</v>
      </c>
      <c r="G2403" s="1">
        <v>0</v>
      </c>
      <c r="H2403" s="5">
        <v>1.35</v>
      </c>
      <c r="I2403" s="2">
        <f>1/1.18</f>
        <v>0.84745762711864414</v>
      </c>
      <c r="J2403" s="3">
        <v>101940</v>
      </c>
      <c r="K2403">
        <v>0.69843794608262977</v>
      </c>
      <c r="L2403">
        <v>19.89885394999796</v>
      </c>
      <c r="M2403">
        <v>1928.8</v>
      </c>
    </row>
    <row r="2404" spans="1:15" x14ac:dyDescent="0.25">
      <c r="A2404" s="8" t="s">
        <v>491</v>
      </c>
      <c r="B2404" s="1" t="s">
        <v>412</v>
      </c>
      <c r="C2404" s="1">
        <v>2014</v>
      </c>
      <c r="D2404" s="1">
        <v>5</v>
      </c>
      <c r="E2404" s="1">
        <v>5</v>
      </c>
      <c r="F2404" s="1">
        <v>5</v>
      </c>
      <c r="G2404" s="1">
        <v>0</v>
      </c>
      <c r="H2404" s="5">
        <v>0.32</v>
      </c>
      <c r="I2404" s="2">
        <f>1/1.15</f>
        <v>0.86956521739130443</v>
      </c>
      <c r="J2404" s="3">
        <v>499</v>
      </c>
      <c r="K2404">
        <v>45.714285714285715</v>
      </c>
      <c r="L2404">
        <v>38.163265306122454</v>
      </c>
      <c r="M2404">
        <v>0</v>
      </c>
    </row>
    <row r="2405" spans="1:15" x14ac:dyDescent="0.25">
      <c r="A2405" s="8" t="s">
        <v>491</v>
      </c>
      <c r="B2405" s="1" t="s">
        <v>412</v>
      </c>
      <c r="C2405" s="1">
        <v>2015</v>
      </c>
      <c r="D2405" s="1">
        <v>5</v>
      </c>
      <c r="E2405" s="1">
        <v>5</v>
      </c>
      <c r="F2405" s="1">
        <v>5</v>
      </c>
      <c r="G2405" s="1">
        <v>0</v>
      </c>
      <c r="H2405" s="5">
        <v>1.05</v>
      </c>
      <c r="I2405" s="2">
        <f>1/0.69</f>
        <v>1.4492753623188408</v>
      </c>
      <c r="J2405" s="3">
        <v>510</v>
      </c>
      <c r="K2405">
        <v>45.714285714285715</v>
      </c>
      <c r="L2405">
        <v>38.163265306122454</v>
      </c>
      <c r="M2405">
        <v>0</v>
      </c>
    </row>
    <row r="2406" spans="1:15" x14ac:dyDescent="0.25">
      <c r="A2406" t="s">
        <v>491</v>
      </c>
      <c r="B2406" s="1" t="s">
        <v>412</v>
      </c>
      <c r="C2406" s="1">
        <v>2016</v>
      </c>
      <c r="D2406" s="1">
        <v>5</v>
      </c>
      <c r="E2406" s="1">
        <v>5</v>
      </c>
      <c r="F2406" s="1">
        <v>5</v>
      </c>
      <c r="G2406" s="1">
        <v>0</v>
      </c>
      <c r="H2406" s="5">
        <v>1.35</v>
      </c>
      <c r="I2406" s="2">
        <f>1/1.6</f>
        <v>0.625</v>
      </c>
      <c r="J2406" s="3">
        <v>490</v>
      </c>
      <c r="K2406">
        <v>45.714285714285715</v>
      </c>
      <c r="L2406">
        <v>38.163265306122454</v>
      </c>
      <c r="M2406">
        <v>0</v>
      </c>
      <c r="O2406" s="7"/>
    </row>
    <row r="2407" spans="1:15" x14ac:dyDescent="0.25">
      <c r="A2407" t="s">
        <v>491</v>
      </c>
      <c r="B2407" s="1" t="s">
        <v>412</v>
      </c>
      <c r="C2407" s="1">
        <v>2017</v>
      </c>
      <c r="D2407" s="1">
        <v>5</v>
      </c>
      <c r="E2407" s="1">
        <v>5</v>
      </c>
      <c r="F2407" s="1">
        <v>5</v>
      </c>
      <c r="G2407" s="1">
        <v>0</v>
      </c>
      <c r="H2407" s="5">
        <v>0.46</v>
      </c>
      <c r="I2407" s="2">
        <f>1/0.4</f>
        <v>2.5</v>
      </c>
      <c r="J2407">
        <v>515</v>
      </c>
      <c r="K2407">
        <v>45.714285714285715</v>
      </c>
      <c r="L2407">
        <v>38.163265306122454</v>
      </c>
      <c r="M2407">
        <v>0</v>
      </c>
    </row>
    <row r="2408" spans="1:15" x14ac:dyDescent="0.25">
      <c r="A2408" s="8" t="s">
        <v>491</v>
      </c>
      <c r="B2408" s="1" t="s">
        <v>412</v>
      </c>
      <c r="C2408" s="1">
        <v>2018</v>
      </c>
      <c r="D2408" s="1">
        <v>5</v>
      </c>
      <c r="E2408" s="1">
        <v>5</v>
      </c>
      <c r="F2408" s="1">
        <v>5</v>
      </c>
      <c r="G2408" s="1">
        <v>0</v>
      </c>
      <c r="H2408" s="5">
        <v>1.49</v>
      </c>
      <c r="I2408" s="2">
        <f>1/0.79</f>
        <v>1.2658227848101264</v>
      </c>
      <c r="J2408" s="3">
        <v>521</v>
      </c>
      <c r="K2408">
        <v>45.714285714285715</v>
      </c>
      <c r="L2408">
        <v>38.163265306122454</v>
      </c>
      <c r="M2408">
        <v>0</v>
      </c>
    </row>
    <row r="2409" spans="1:15" x14ac:dyDescent="0.25">
      <c r="A2409" s="8" t="s">
        <v>492</v>
      </c>
      <c r="B2409" s="1" t="s">
        <v>412</v>
      </c>
      <c r="C2409" s="1">
        <v>2014</v>
      </c>
      <c r="D2409" s="1">
        <v>3</v>
      </c>
      <c r="E2409" s="1">
        <v>4</v>
      </c>
      <c r="F2409" s="1">
        <v>3.5</v>
      </c>
      <c r="G2409" s="1">
        <v>1</v>
      </c>
      <c r="H2409" s="5">
        <v>1.87</v>
      </c>
      <c r="I2409" s="2">
        <f>1/1.2</f>
        <v>0.83333333333333337</v>
      </c>
      <c r="J2409" s="3">
        <v>3380</v>
      </c>
      <c r="K2409">
        <v>6.7998807038473013</v>
      </c>
      <c r="L2409">
        <v>7.0086489710706825</v>
      </c>
      <c r="M2409">
        <v>1</v>
      </c>
    </row>
    <row r="2410" spans="1:15" x14ac:dyDescent="0.25">
      <c r="A2410" s="8" t="s">
        <v>492</v>
      </c>
      <c r="B2410" s="1" t="s">
        <v>412</v>
      </c>
      <c r="C2410" s="1">
        <v>2015</v>
      </c>
      <c r="D2410" s="1">
        <v>3</v>
      </c>
      <c r="E2410" s="1">
        <v>4</v>
      </c>
      <c r="F2410" s="1">
        <v>3.5</v>
      </c>
      <c r="G2410" s="1">
        <v>1</v>
      </c>
      <c r="H2410" s="5">
        <v>1.38</v>
      </c>
      <c r="I2410" s="2">
        <f>1/0.68</f>
        <v>1.4705882352941175</v>
      </c>
      <c r="J2410" s="3">
        <v>3385</v>
      </c>
      <c r="K2410">
        <v>6.7998807038473013</v>
      </c>
      <c r="L2410">
        <v>7.0086489710706825</v>
      </c>
      <c r="M2410">
        <v>1</v>
      </c>
    </row>
    <row r="2411" spans="1:15" x14ac:dyDescent="0.25">
      <c r="A2411" t="s">
        <v>492</v>
      </c>
      <c r="B2411" s="1" t="s">
        <v>412</v>
      </c>
      <c r="C2411" s="1">
        <v>2016</v>
      </c>
      <c r="D2411" s="1">
        <v>3</v>
      </c>
      <c r="E2411" s="1">
        <v>4</v>
      </c>
      <c r="F2411" s="1">
        <v>3.5</v>
      </c>
      <c r="G2411" s="1">
        <v>1</v>
      </c>
      <c r="H2411" s="5">
        <v>1.27</v>
      </c>
      <c r="I2411" s="2">
        <f>1/1.45</f>
        <v>0.68965517241379315</v>
      </c>
      <c r="J2411" s="6">
        <v>3353</v>
      </c>
      <c r="K2411" s="7">
        <v>6.7998807038473013</v>
      </c>
      <c r="L2411" s="7">
        <v>7.0086489710706825</v>
      </c>
      <c r="M2411">
        <v>1</v>
      </c>
      <c r="O2411" s="7"/>
    </row>
    <row r="2412" spans="1:15" x14ac:dyDescent="0.25">
      <c r="A2412" t="s">
        <v>492</v>
      </c>
      <c r="B2412" s="1" t="s">
        <v>412</v>
      </c>
      <c r="C2412" s="1">
        <v>2017</v>
      </c>
      <c r="D2412" s="1">
        <v>3</v>
      </c>
      <c r="E2412" s="1">
        <v>4</v>
      </c>
      <c r="F2412" s="1">
        <v>3.5</v>
      </c>
      <c r="G2412" s="1">
        <v>1</v>
      </c>
      <c r="H2412" s="5">
        <v>0.99</v>
      </c>
      <c r="I2412" s="2">
        <f>1/0.99</f>
        <v>1.0101010101010102</v>
      </c>
      <c r="J2412">
        <v>3422</v>
      </c>
      <c r="K2412">
        <v>6.7998807038473013</v>
      </c>
      <c r="L2412">
        <v>7.0086489710706825</v>
      </c>
      <c r="M2412">
        <v>1</v>
      </c>
    </row>
    <row r="2413" spans="1:15" x14ac:dyDescent="0.25">
      <c r="A2413" s="8" t="s">
        <v>492</v>
      </c>
      <c r="B2413" s="1" t="s">
        <v>412</v>
      </c>
      <c r="C2413" s="1">
        <v>2018</v>
      </c>
      <c r="D2413" s="1">
        <v>3</v>
      </c>
      <c r="E2413" s="1">
        <v>4</v>
      </c>
      <c r="F2413" s="1">
        <v>3.5</v>
      </c>
      <c r="G2413" s="1">
        <v>1</v>
      </c>
      <c r="H2413" s="5">
        <v>1.17</v>
      </c>
      <c r="I2413" s="2">
        <f>1/1.32</f>
        <v>0.75757575757575757</v>
      </c>
      <c r="J2413" s="3">
        <v>3410</v>
      </c>
      <c r="K2413">
        <v>6.7998807038473013</v>
      </c>
      <c r="L2413">
        <v>7.0086489710706825</v>
      </c>
      <c r="M2413">
        <v>1</v>
      </c>
    </row>
    <row r="2414" spans="1:15" x14ac:dyDescent="0.25">
      <c r="A2414" s="8" t="s">
        <v>493</v>
      </c>
      <c r="B2414" s="1" t="s">
        <v>412</v>
      </c>
      <c r="C2414" s="1">
        <v>2014</v>
      </c>
      <c r="D2414" s="1">
        <v>3</v>
      </c>
      <c r="E2414" s="1">
        <v>3</v>
      </c>
      <c r="F2414" s="1">
        <v>3</v>
      </c>
      <c r="G2414" s="1">
        <v>0</v>
      </c>
      <c r="H2414" s="5">
        <v>1.49</v>
      </c>
      <c r="I2414" s="2">
        <f>1/1.75</f>
        <v>0.5714285714285714</v>
      </c>
      <c r="J2414" s="3">
        <v>482</v>
      </c>
      <c r="K2414">
        <v>4.5751633986928102</v>
      </c>
      <c r="L2414">
        <v>0</v>
      </c>
      <c r="M2414">
        <v>0.2</v>
      </c>
    </row>
    <row r="2415" spans="1:15" x14ac:dyDescent="0.25">
      <c r="A2415" s="8" t="s">
        <v>493</v>
      </c>
      <c r="B2415" s="1" t="s">
        <v>412</v>
      </c>
      <c r="C2415" s="1">
        <v>2015</v>
      </c>
      <c r="D2415" s="1">
        <v>3</v>
      </c>
      <c r="E2415" s="1">
        <v>3</v>
      </c>
      <c r="F2415" s="1">
        <v>3</v>
      </c>
      <c r="G2415" s="1">
        <v>0</v>
      </c>
      <c r="H2415" s="5">
        <v>1.1000000000000001</v>
      </c>
      <c r="I2415" s="2">
        <f>1/1.32</f>
        <v>0.75757575757575757</v>
      </c>
      <c r="J2415" s="3">
        <v>474</v>
      </c>
      <c r="K2415">
        <v>4.5751633986928102</v>
      </c>
      <c r="L2415">
        <v>0</v>
      </c>
      <c r="M2415">
        <v>0.2</v>
      </c>
    </row>
    <row r="2416" spans="1:15" x14ac:dyDescent="0.25">
      <c r="A2416" t="s">
        <v>493</v>
      </c>
      <c r="B2416" s="1" t="s">
        <v>412</v>
      </c>
      <c r="C2416" s="1">
        <v>2016</v>
      </c>
      <c r="D2416" s="1">
        <v>3</v>
      </c>
      <c r="E2416" s="1">
        <v>3</v>
      </c>
      <c r="F2416" s="1">
        <v>3</v>
      </c>
      <c r="G2416" s="1">
        <v>0</v>
      </c>
      <c r="H2416" s="5">
        <v>0.49</v>
      </c>
      <c r="I2416" s="2">
        <f>1/1.6</f>
        <v>0.625</v>
      </c>
      <c r="J2416" s="6">
        <v>459</v>
      </c>
      <c r="K2416" s="7">
        <v>4.5751633986928102</v>
      </c>
      <c r="L2416" s="7">
        <v>0</v>
      </c>
      <c r="M2416">
        <v>0.2</v>
      </c>
      <c r="O2416" s="7"/>
    </row>
    <row r="2417" spans="1:15" x14ac:dyDescent="0.25">
      <c r="A2417" t="s">
        <v>493</v>
      </c>
      <c r="B2417" s="1" t="s">
        <v>412</v>
      </c>
      <c r="C2417" s="1">
        <v>2017</v>
      </c>
      <c r="D2417" s="1">
        <v>3</v>
      </c>
      <c r="E2417" s="1">
        <v>3</v>
      </c>
      <c r="F2417" s="1">
        <v>3</v>
      </c>
      <c r="G2417" s="1">
        <v>0</v>
      </c>
      <c r="H2417" s="5">
        <v>0.83</v>
      </c>
      <c r="I2417" s="2">
        <f>1/1.39</f>
        <v>0.71942446043165476</v>
      </c>
      <c r="J2417">
        <v>449</v>
      </c>
      <c r="K2417">
        <v>4.5751633986928102</v>
      </c>
      <c r="L2417">
        <v>0</v>
      </c>
      <c r="M2417">
        <v>0.2</v>
      </c>
    </row>
    <row r="2418" spans="1:15" x14ac:dyDescent="0.25">
      <c r="A2418" s="8" t="s">
        <v>493</v>
      </c>
      <c r="B2418" s="1" t="s">
        <v>412</v>
      </c>
      <c r="C2418" s="1">
        <v>2018</v>
      </c>
      <c r="D2418" s="1">
        <v>3</v>
      </c>
      <c r="E2418" s="1">
        <v>3</v>
      </c>
      <c r="F2418" s="1">
        <v>3</v>
      </c>
      <c r="G2418" s="1">
        <v>0</v>
      </c>
      <c r="H2418" s="5">
        <v>1.17</v>
      </c>
      <c r="I2418" s="2">
        <f>1/1.32</f>
        <v>0.75757575757575757</v>
      </c>
      <c r="J2418" s="3">
        <v>432</v>
      </c>
      <c r="K2418">
        <v>4.5751633986928102</v>
      </c>
      <c r="L2418">
        <v>0</v>
      </c>
      <c r="M2418">
        <v>0.2</v>
      </c>
    </row>
    <row r="2419" spans="1:15" x14ac:dyDescent="0.25">
      <c r="A2419" s="8" t="s">
        <v>494</v>
      </c>
      <c r="B2419" s="1" t="s">
        <v>412</v>
      </c>
      <c r="C2419" s="1">
        <v>2014</v>
      </c>
      <c r="D2419" s="1">
        <v>3</v>
      </c>
      <c r="E2419" s="1">
        <v>3</v>
      </c>
      <c r="F2419" s="1">
        <v>3</v>
      </c>
      <c r="G2419" s="1">
        <v>0</v>
      </c>
      <c r="H2419" s="5">
        <v>1.28</v>
      </c>
      <c r="I2419" s="2">
        <f>1/1.15</f>
        <v>0.86956521739130443</v>
      </c>
      <c r="J2419" s="3">
        <v>2504</v>
      </c>
      <c r="K2419">
        <v>10.809699958898479</v>
      </c>
      <c r="L2419">
        <v>2.6304973284011508</v>
      </c>
      <c r="M2419">
        <v>0.7</v>
      </c>
    </row>
    <row r="2420" spans="1:15" x14ac:dyDescent="0.25">
      <c r="A2420" s="8" t="s">
        <v>494</v>
      </c>
      <c r="B2420" s="1" t="s">
        <v>412</v>
      </c>
      <c r="C2420" s="1">
        <v>2015</v>
      </c>
      <c r="D2420" s="1">
        <v>3</v>
      </c>
      <c r="E2420" s="1">
        <v>3</v>
      </c>
      <c r="F2420" s="1">
        <v>3</v>
      </c>
      <c r="G2420" s="1">
        <v>0</v>
      </c>
      <c r="H2420" s="5">
        <v>1.6</v>
      </c>
      <c r="I2420" s="2">
        <f>1/0.86</f>
        <v>1.1627906976744187</v>
      </c>
      <c r="J2420" s="3">
        <v>2505</v>
      </c>
      <c r="K2420">
        <v>10.809699958898479</v>
      </c>
      <c r="L2420">
        <v>2.6304973284011508</v>
      </c>
      <c r="M2420">
        <v>0.7</v>
      </c>
    </row>
    <row r="2421" spans="1:15" x14ac:dyDescent="0.25">
      <c r="A2421" t="s">
        <v>494</v>
      </c>
      <c r="B2421" s="1" t="s">
        <v>412</v>
      </c>
      <c r="C2421" s="1">
        <v>2016</v>
      </c>
      <c r="D2421" s="1">
        <v>3</v>
      </c>
      <c r="E2421" s="1">
        <v>3</v>
      </c>
      <c r="F2421" s="1">
        <v>3</v>
      </c>
      <c r="G2421" s="1">
        <v>0</v>
      </c>
      <c r="H2421" s="5">
        <v>0.77</v>
      </c>
      <c r="I2421" s="2">
        <f>1/1.38</f>
        <v>0.7246376811594204</v>
      </c>
      <c r="J2421" s="6">
        <v>2433</v>
      </c>
      <c r="K2421" s="7">
        <v>10.809699958898479</v>
      </c>
      <c r="L2421" s="7">
        <v>2.6304973284011508</v>
      </c>
      <c r="M2421">
        <v>0.7</v>
      </c>
      <c r="O2421" s="7"/>
    </row>
    <row r="2422" spans="1:15" x14ac:dyDescent="0.25">
      <c r="A2422" t="s">
        <v>494</v>
      </c>
      <c r="B2422" s="1" t="s">
        <v>412</v>
      </c>
      <c r="C2422" s="1">
        <v>2017</v>
      </c>
      <c r="D2422" s="1">
        <v>3</v>
      </c>
      <c r="E2422" s="1">
        <v>3</v>
      </c>
      <c r="F2422" s="1">
        <v>3</v>
      </c>
      <c r="G2422" s="1">
        <v>0</v>
      </c>
      <c r="H2422" s="5">
        <v>1.03</v>
      </c>
      <c r="I2422" s="2">
        <f>1/1.07</f>
        <v>0.93457943925233644</v>
      </c>
      <c r="J2422">
        <v>2449</v>
      </c>
      <c r="K2422">
        <v>10.809699958898479</v>
      </c>
      <c r="L2422">
        <v>2.6304973284011508</v>
      </c>
      <c r="M2422">
        <v>0.7</v>
      </c>
    </row>
    <row r="2423" spans="1:15" x14ac:dyDescent="0.25">
      <c r="A2423" s="8" t="s">
        <v>494</v>
      </c>
      <c r="B2423" s="1" t="s">
        <v>412</v>
      </c>
      <c r="C2423" s="1">
        <v>2018</v>
      </c>
      <c r="D2423" s="1">
        <v>3</v>
      </c>
      <c r="E2423" s="1">
        <v>3</v>
      </c>
      <c r="F2423" s="1">
        <v>3</v>
      </c>
      <c r="G2423" s="1">
        <v>0</v>
      </c>
      <c r="H2423" s="5">
        <v>0.72</v>
      </c>
      <c r="I2423" s="2">
        <f>1/1.45</f>
        <v>0.68965517241379315</v>
      </c>
      <c r="J2423" s="3">
        <v>2426</v>
      </c>
      <c r="K2423">
        <v>10.809699958898479</v>
      </c>
      <c r="L2423">
        <v>2.6304973284011508</v>
      </c>
      <c r="M2423">
        <v>0.6</v>
      </c>
    </row>
    <row r="2424" spans="1:15" x14ac:dyDescent="0.25">
      <c r="A2424" s="8" t="s">
        <v>495</v>
      </c>
      <c r="B2424" s="1" t="s">
        <v>412</v>
      </c>
      <c r="C2424" s="1">
        <v>2014</v>
      </c>
      <c r="D2424" s="1">
        <v>4</v>
      </c>
      <c r="E2424" s="1">
        <v>4</v>
      </c>
      <c r="F2424" s="1">
        <v>4</v>
      </c>
      <c r="G2424" s="1">
        <v>0</v>
      </c>
      <c r="H2424" s="5">
        <v>1.24</v>
      </c>
      <c r="I2424" s="2">
        <f>1/1.49</f>
        <v>0.67114093959731547</v>
      </c>
      <c r="J2424" s="3">
        <v>835</v>
      </c>
      <c r="K2424">
        <v>16.353887399463808</v>
      </c>
      <c r="L2424">
        <v>2.0107238605898123</v>
      </c>
      <c r="M2424">
        <v>0.2</v>
      </c>
    </row>
    <row r="2425" spans="1:15" x14ac:dyDescent="0.25">
      <c r="A2425" s="8" t="s">
        <v>495</v>
      </c>
      <c r="B2425" s="1" t="s">
        <v>412</v>
      </c>
      <c r="C2425" s="1">
        <v>2015</v>
      </c>
      <c r="D2425" s="1">
        <v>4</v>
      </c>
      <c r="E2425" s="1">
        <v>4</v>
      </c>
      <c r="F2425" s="1">
        <v>4</v>
      </c>
      <c r="G2425" s="1">
        <v>0</v>
      </c>
      <c r="H2425" s="5">
        <v>0.89</v>
      </c>
      <c r="I2425" s="2">
        <f>1/1.81</f>
        <v>0.5524861878453039</v>
      </c>
      <c r="J2425" s="3">
        <v>800</v>
      </c>
      <c r="K2425">
        <v>16.353887399463808</v>
      </c>
      <c r="L2425">
        <v>2.0107238605898123</v>
      </c>
      <c r="M2425">
        <v>0.2</v>
      </c>
    </row>
    <row r="2426" spans="1:15" x14ac:dyDescent="0.25">
      <c r="A2426" t="s">
        <v>495</v>
      </c>
      <c r="B2426" s="1" t="s">
        <v>412</v>
      </c>
      <c r="C2426" s="1">
        <v>2016</v>
      </c>
      <c r="D2426" s="1">
        <v>4</v>
      </c>
      <c r="E2426" s="1">
        <v>4</v>
      </c>
      <c r="F2426" s="1">
        <v>4</v>
      </c>
      <c r="G2426" s="1">
        <v>0</v>
      </c>
      <c r="H2426" s="5">
        <v>0.99</v>
      </c>
      <c r="I2426" s="2">
        <f>1/1.67</f>
        <v>0.5988023952095809</v>
      </c>
      <c r="J2426" s="6">
        <v>746</v>
      </c>
      <c r="K2426" s="7">
        <v>16.353887399463808</v>
      </c>
      <c r="L2426" s="7">
        <v>2.0107238605898123</v>
      </c>
      <c r="M2426">
        <v>0.2</v>
      </c>
      <c r="O2426" s="7"/>
    </row>
    <row r="2427" spans="1:15" x14ac:dyDescent="0.25">
      <c r="A2427" t="s">
        <v>495</v>
      </c>
      <c r="B2427" s="1" t="s">
        <v>412</v>
      </c>
      <c r="C2427" s="1">
        <v>2017</v>
      </c>
      <c r="D2427" s="1">
        <v>4</v>
      </c>
      <c r="E2427" s="1">
        <v>4</v>
      </c>
      <c r="F2427" s="1">
        <v>4</v>
      </c>
      <c r="G2427" s="1">
        <v>0</v>
      </c>
      <c r="H2427" s="5">
        <v>1.89</v>
      </c>
      <c r="I2427" s="2">
        <f>1/0.81</f>
        <v>1.2345679012345678</v>
      </c>
      <c r="J2427">
        <v>731</v>
      </c>
      <c r="K2427">
        <v>16.353887399463808</v>
      </c>
      <c r="L2427">
        <v>2.0107238605898123</v>
      </c>
      <c r="M2427">
        <v>0.2</v>
      </c>
    </row>
    <row r="2428" spans="1:15" x14ac:dyDescent="0.25">
      <c r="A2428" s="8" t="s">
        <v>495</v>
      </c>
      <c r="B2428" s="1" t="s">
        <v>412</v>
      </c>
      <c r="C2428" s="1">
        <v>2018</v>
      </c>
      <c r="D2428" s="1">
        <v>4</v>
      </c>
      <c r="E2428" s="1">
        <v>4</v>
      </c>
      <c r="F2428" s="1">
        <v>4</v>
      </c>
      <c r="G2428" s="1">
        <v>0</v>
      </c>
      <c r="H2428" s="5">
        <v>0.64</v>
      </c>
      <c r="I2428" s="2">
        <f>1/1.54</f>
        <v>0.64935064935064934</v>
      </c>
      <c r="J2428" s="3">
        <v>698</v>
      </c>
      <c r="K2428">
        <v>16.353887399463808</v>
      </c>
      <c r="L2428">
        <v>2.0107238605898123</v>
      </c>
      <c r="M2428">
        <v>0.2</v>
      </c>
    </row>
    <row r="2429" spans="1:15" x14ac:dyDescent="0.25">
      <c r="A2429" s="8" t="s">
        <v>496</v>
      </c>
      <c r="B2429" s="1" t="s">
        <v>412</v>
      </c>
      <c r="C2429" s="1">
        <v>2014</v>
      </c>
      <c r="D2429" s="1">
        <v>1</v>
      </c>
      <c r="E2429" s="1">
        <v>1</v>
      </c>
      <c r="F2429" s="1">
        <v>1</v>
      </c>
      <c r="G2429" s="1">
        <v>0</v>
      </c>
      <c r="H2429" s="5">
        <v>1.44</v>
      </c>
      <c r="I2429" s="2">
        <f>1/1.09</f>
        <v>0.9174311926605504</v>
      </c>
      <c r="J2429" s="3">
        <v>9202</v>
      </c>
      <c r="K2429">
        <v>0.87949743003997716</v>
      </c>
      <c r="L2429">
        <v>13.203883495145632</v>
      </c>
      <c r="M2429">
        <v>2116.8000000000002</v>
      </c>
    </row>
    <row r="2430" spans="1:15" x14ac:dyDescent="0.25">
      <c r="A2430" s="8" t="s">
        <v>496</v>
      </c>
      <c r="B2430" s="1" t="s">
        <v>412</v>
      </c>
      <c r="C2430" s="1">
        <v>2015</v>
      </c>
      <c r="D2430" s="1">
        <v>1</v>
      </c>
      <c r="E2430" s="1">
        <v>1</v>
      </c>
      <c r="F2430" s="1">
        <v>1</v>
      </c>
      <c r="G2430" s="1">
        <v>0</v>
      </c>
      <c r="H2430" s="5">
        <v>0.77</v>
      </c>
      <c r="I2430" s="2">
        <f>1/1.2</f>
        <v>0.83333333333333337</v>
      </c>
      <c r="J2430" s="3">
        <v>9188</v>
      </c>
      <c r="K2430">
        <v>0.87949743003997716</v>
      </c>
      <c r="L2430">
        <v>13.203883495145632</v>
      </c>
      <c r="M2430">
        <v>2113.5</v>
      </c>
    </row>
    <row r="2431" spans="1:15" x14ac:dyDescent="0.25">
      <c r="A2431" t="s">
        <v>496</v>
      </c>
      <c r="B2431" s="1" t="s">
        <v>412</v>
      </c>
      <c r="C2431" s="1">
        <v>2016</v>
      </c>
      <c r="D2431" s="1">
        <v>1</v>
      </c>
      <c r="E2431" s="1">
        <v>1</v>
      </c>
      <c r="F2431" s="1">
        <v>1</v>
      </c>
      <c r="G2431" s="1">
        <v>0</v>
      </c>
      <c r="H2431" s="5">
        <v>0.49</v>
      </c>
      <c r="I2431" s="2">
        <f>1/0.98</f>
        <v>1.0204081632653061</v>
      </c>
      <c r="J2431" s="6">
        <v>8755</v>
      </c>
      <c r="K2431" s="7">
        <v>0.87949743003997716</v>
      </c>
      <c r="L2431" s="7">
        <v>13.203883495145632</v>
      </c>
      <c r="M2431">
        <v>2108.6999999999998</v>
      </c>
      <c r="O2431" s="7"/>
    </row>
    <row r="2432" spans="1:15" x14ac:dyDescent="0.25">
      <c r="A2432" t="s">
        <v>496</v>
      </c>
      <c r="B2432" s="1" t="s">
        <v>412</v>
      </c>
      <c r="C2432" s="1">
        <v>2017</v>
      </c>
      <c r="D2432" s="1">
        <v>1</v>
      </c>
      <c r="E2432" s="1">
        <v>1</v>
      </c>
      <c r="F2432" s="1">
        <v>1</v>
      </c>
      <c r="G2432" s="1">
        <v>0</v>
      </c>
      <c r="H2432" s="5">
        <v>0.62</v>
      </c>
      <c r="I2432" s="2">
        <f>1/0.98</f>
        <v>1.0204081632653061</v>
      </c>
      <c r="J2432">
        <v>9130</v>
      </c>
      <c r="K2432">
        <v>0.87949743003997716</v>
      </c>
      <c r="L2432">
        <v>13.203883495145632</v>
      </c>
      <c r="M2432">
        <v>2100.1999999999998</v>
      </c>
    </row>
    <row r="2433" spans="1:15" x14ac:dyDescent="0.25">
      <c r="A2433" s="8" t="s">
        <v>496</v>
      </c>
      <c r="B2433" s="1" t="s">
        <v>412</v>
      </c>
      <c r="C2433" s="1">
        <v>2018</v>
      </c>
      <c r="D2433" s="1">
        <v>1</v>
      </c>
      <c r="E2433" s="1">
        <v>1</v>
      </c>
      <c r="F2433" s="1">
        <v>1</v>
      </c>
      <c r="G2433" s="1">
        <v>0</v>
      </c>
      <c r="H2433" s="5">
        <v>1.07</v>
      </c>
      <c r="I2433" s="2">
        <f>1/1.01</f>
        <v>0.99009900990099009</v>
      </c>
      <c r="J2433" s="3">
        <v>9067</v>
      </c>
      <c r="K2433">
        <v>0.87949743003997716</v>
      </c>
      <c r="L2433">
        <v>13.203883495145632</v>
      </c>
      <c r="M2433">
        <v>2085.6999999999998</v>
      </c>
    </row>
    <row r="2434" spans="1:15" x14ac:dyDescent="0.25">
      <c r="A2434" s="8" t="s">
        <v>497</v>
      </c>
      <c r="B2434" s="1" t="s">
        <v>412</v>
      </c>
      <c r="C2434" s="1">
        <v>2014</v>
      </c>
      <c r="D2434" s="1">
        <v>5</v>
      </c>
      <c r="E2434" s="1">
        <v>5</v>
      </c>
      <c r="F2434" s="1">
        <v>5</v>
      </c>
      <c r="G2434" s="1">
        <v>0</v>
      </c>
      <c r="H2434" s="5">
        <v>2.09</v>
      </c>
      <c r="I2434" s="2">
        <f>1/1.12</f>
        <v>0.89285714285714279</v>
      </c>
      <c r="J2434" s="3">
        <v>615</v>
      </c>
      <c r="K2434">
        <v>21.161825726141078</v>
      </c>
      <c r="L2434">
        <v>3.1120331950207469</v>
      </c>
      <c r="M2434">
        <v>0</v>
      </c>
    </row>
    <row r="2435" spans="1:15" x14ac:dyDescent="0.25">
      <c r="A2435" s="8" t="s">
        <v>497</v>
      </c>
      <c r="B2435" s="1" t="s">
        <v>412</v>
      </c>
      <c r="C2435" s="1">
        <v>2015</v>
      </c>
      <c r="D2435" s="1">
        <v>5</v>
      </c>
      <c r="E2435" s="1">
        <v>5</v>
      </c>
      <c r="F2435" s="1">
        <v>5</v>
      </c>
      <c r="G2435" s="1">
        <v>0</v>
      </c>
      <c r="H2435" s="5">
        <v>2.12</v>
      </c>
      <c r="I2435" s="2">
        <f>1/0.63</f>
        <v>1.5873015873015872</v>
      </c>
      <c r="J2435" s="3">
        <v>563</v>
      </c>
      <c r="K2435">
        <v>21.161825726141078</v>
      </c>
      <c r="L2435">
        <v>3.1120331950207469</v>
      </c>
      <c r="M2435">
        <v>0</v>
      </c>
    </row>
    <row r="2436" spans="1:15" x14ac:dyDescent="0.25">
      <c r="A2436" t="s">
        <v>497</v>
      </c>
      <c r="B2436" s="1" t="s">
        <v>412</v>
      </c>
      <c r="C2436" s="1">
        <v>2016</v>
      </c>
      <c r="D2436" s="1">
        <v>5</v>
      </c>
      <c r="E2436" s="1">
        <v>5</v>
      </c>
      <c r="F2436" s="1">
        <v>5</v>
      </c>
      <c r="G2436" s="1">
        <v>0</v>
      </c>
      <c r="H2436" s="5">
        <v>0.6</v>
      </c>
      <c r="I2436" s="2">
        <f>1/1.79</f>
        <v>0.55865921787709494</v>
      </c>
      <c r="J2436" s="3">
        <v>482</v>
      </c>
      <c r="K2436">
        <v>21.161825726141078</v>
      </c>
      <c r="L2436">
        <v>3.1120331950207469</v>
      </c>
      <c r="M2436">
        <v>0</v>
      </c>
      <c r="O2436" s="7"/>
    </row>
    <row r="2437" spans="1:15" x14ac:dyDescent="0.25">
      <c r="A2437" t="s">
        <v>497</v>
      </c>
      <c r="B2437" s="1" t="s">
        <v>412</v>
      </c>
      <c r="C2437" s="1">
        <v>2017</v>
      </c>
      <c r="D2437" s="1">
        <v>5</v>
      </c>
      <c r="E2437" s="1">
        <v>5</v>
      </c>
      <c r="F2437" s="1">
        <v>5</v>
      </c>
      <c r="G2437" s="1">
        <v>0</v>
      </c>
      <c r="H2437" s="5">
        <v>1.44</v>
      </c>
      <c r="I2437" s="2">
        <f>1/0.39</f>
        <v>2.5641025641025639</v>
      </c>
      <c r="J2437">
        <v>494</v>
      </c>
      <c r="K2437">
        <v>21.161825726141078</v>
      </c>
      <c r="L2437">
        <v>3.1120331950207469</v>
      </c>
      <c r="M2437">
        <v>0</v>
      </c>
    </row>
    <row r="2438" spans="1:15" x14ac:dyDescent="0.25">
      <c r="A2438" s="8" t="s">
        <v>497</v>
      </c>
      <c r="B2438" s="1" t="s">
        <v>412</v>
      </c>
      <c r="C2438" s="1">
        <v>2018</v>
      </c>
      <c r="D2438" s="1">
        <v>5</v>
      </c>
      <c r="E2438" s="1">
        <v>5</v>
      </c>
      <c r="F2438" s="1">
        <v>5</v>
      </c>
      <c r="G2438" s="1">
        <v>0</v>
      </c>
      <c r="H2438" s="5">
        <v>0.88</v>
      </c>
      <c r="I2438" s="2">
        <f>1/0.89</f>
        <v>1.1235955056179776</v>
      </c>
      <c r="J2438" s="3">
        <v>464</v>
      </c>
      <c r="K2438">
        <v>21.161825726141078</v>
      </c>
      <c r="L2438">
        <v>3.1120331950207469</v>
      </c>
      <c r="M2438">
        <v>0</v>
      </c>
    </row>
    <row r="2439" spans="1:15" x14ac:dyDescent="0.25">
      <c r="A2439" s="8" t="s">
        <v>498</v>
      </c>
      <c r="B2439" s="1" t="s">
        <v>412</v>
      </c>
      <c r="C2439" s="1">
        <v>2014</v>
      </c>
      <c r="D2439" s="1">
        <v>4</v>
      </c>
      <c r="E2439" s="1">
        <v>4</v>
      </c>
      <c r="F2439" s="1">
        <v>4</v>
      </c>
      <c r="G2439" s="1">
        <v>0</v>
      </c>
      <c r="H2439" s="5">
        <v>0.82</v>
      </c>
      <c r="I2439" s="2">
        <f>1/2.72</f>
        <v>0.36764705882352938</v>
      </c>
      <c r="J2439" s="3">
        <v>528</v>
      </c>
      <c r="K2439">
        <v>0.95057034220532322</v>
      </c>
      <c r="L2439">
        <v>0.76045627376425851</v>
      </c>
      <c r="M2439">
        <v>0.1</v>
      </c>
    </row>
    <row r="2440" spans="1:15" x14ac:dyDescent="0.25">
      <c r="A2440" s="8" t="s">
        <v>498</v>
      </c>
      <c r="B2440" s="1" t="s">
        <v>412</v>
      </c>
      <c r="C2440" s="1">
        <v>2015</v>
      </c>
      <c r="D2440" s="1">
        <v>4</v>
      </c>
      <c r="E2440" s="1">
        <v>4</v>
      </c>
      <c r="F2440" s="1">
        <v>4</v>
      </c>
      <c r="G2440" s="1">
        <v>0</v>
      </c>
      <c r="H2440" s="5">
        <v>0.57999999999999996</v>
      </c>
      <c r="I2440" s="2">
        <f>1/1.43</f>
        <v>0.69930069930069938</v>
      </c>
      <c r="J2440" s="3">
        <v>531</v>
      </c>
      <c r="K2440">
        <v>0.95057034220532322</v>
      </c>
      <c r="L2440">
        <v>0.76045627376425851</v>
      </c>
      <c r="M2440">
        <v>0.1</v>
      </c>
    </row>
    <row r="2441" spans="1:15" x14ac:dyDescent="0.25">
      <c r="A2441" t="s">
        <v>498</v>
      </c>
      <c r="B2441" s="1" t="s">
        <v>412</v>
      </c>
      <c r="C2441" s="1">
        <v>2016</v>
      </c>
      <c r="D2441" s="1">
        <v>4</v>
      </c>
      <c r="E2441" s="1">
        <v>4</v>
      </c>
      <c r="F2441" s="1">
        <v>4</v>
      </c>
      <c r="G2441" s="1">
        <v>0</v>
      </c>
      <c r="H2441" s="5">
        <v>0.96</v>
      </c>
      <c r="I2441" s="2">
        <f>1/2.36</f>
        <v>0.42372881355932207</v>
      </c>
      <c r="J2441" s="6">
        <v>526</v>
      </c>
      <c r="K2441" s="7">
        <v>0.95057034220532322</v>
      </c>
      <c r="L2441" s="7">
        <v>0.76045627376425851</v>
      </c>
      <c r="M2441">
        <v>0.1</v>
      </c>
      <c r="O2441" s="7"/>
    </row>
    <row r="2442" spans="1:15" x14ac:dyDescent="0.25">
      <c r="A2442" t="s">
        <v>498</v>
      </c>
      <c r="B2442" s="1" t="s">
        <v>412</v>
      </c>
      <c r="C2442" s="1">
        <v>2017</v>
      </c>
      <c r="D2442" s="1">
        <v>4</v>
      </c>
      <c r="E2442" s="1">
        <v>4</v>
      </c>
      <c r="F2442" s="1">
        <v>4</v>
      </c>
      <c r="G2442" s="1">
        <v>0</v>
      </c>
      <c r="H2442" s="2">
        <v>1.18</v>
      </c>
      <c r="I2442" s="2">
        <f>1/1.33</f>
        <v>0.75187969924812026</v>
      </c>
      <c r="J2442">
        <v>529</v>
      </c>
      <c r="K2442">
        <v>0.95057034220532322</v>
      </c>
      <c r="L2442">
        <v>0.76045627376425851</v>
      </c>
      <c r="M2442">
        <v>0.1</v>
      </c>
    </row>
    <row r="2443" spans="1:15" x14ac:dyDescent="0.25">
      <c r="A2443" s="8" t="s">
        <v>498</v>
      </c>
      <c r="B2443" s="1" t="s">
        <v>412</v>
      </c>
      <c r="C2443" s="1">
        <v>2018</v>
      </c>
      <c r="D2443" s="1">
        <v>4</v>
      </c>
      <c r="E2443" s="1">
        <v>4</v>
      </c>
      <c r="F2443" s="1">
        <v>4</v>
      </c>
      <c r="G2443" s="1">
        <v>0</v>
      </c>
      <c r="H2443" s="5">
        <v>1.53</v>
      </c>
      <c r="I2443" s="2">
        <f>1/0.53</f>
        <v>1.8867924528301885</v>
      </c>
      <c r="J2443" s="3">
        <v>518</v>
      </c>
      <c r="K2443">
        <v>0.95057034220532322</v>
      </c>
      <c r="L2443">
        <v>0.76045627376425851</v>
      </c>
      <c r="M2443">
        <v>0.1</v>
      </c>
    </row>
    <row r="2444" spans="1:15" x14ac:dyDescent="0.25">
      <c r="A2444" s="8" t="s">
        <v>499</v>
      </c>
      <c r="B2444" s="1" t="s">
        <v>412</v>
      </c>
      <c r="C2444" s="1">
        <v>2014</v>
      </c>
      <c r="D2444" s="1">
        <v>4</v>
      </c>
      <c r="E2444" s="1">
        <v>4</v>
      </c>
      <c r="F2444" s="1">
        <v>4</v>
      </c>
      <c r="G2444" s="1">
        <v>0</v>
      </c>
      <c r="H2444" s="5">
        <v>0.84</v>
      </c>
      <c r="I2444" s="2">
        <f>1/2.2</f>
        <v>0.45454545454545453</v>
      </c>
      <c r="J2444" s="3">
        <v>549</v>
      </c>
      <c r="K2444">
        <v>5.4249547920433994</v>
      </c>
      <c r="L2444">
        <v>0.9041591320072333</v>
      </c>
      <c r="M2444">
        <v>0.2</v>
      </c>
    </row>
    <row r="2445" spans="1:15" x14ac:dyDescent="0.25">
      <c r="A2445" s="8" t="s">
        <v>499</v>
      </c>
      <c r="B2445" s="1" t="s">
        <v>412</v>
      </c>
      <c r="C2445" s="1">
        <v>2015</v>
      </c>
      <c r="D2445" s="1">
        <v>4</v>
      </c>
      <c r="E2445" s="1">
        <v>4</v>
      </c>
      <c r="F2445" s="1">
        <v>4</v>
      </c>
      <c r="G2445" s="1">
        <v>0</v>
      </c>
      <c r="H2445" s="5">
        <v>2.13</v>
      </c>
      <c r="I2445" s="2">
        <f>1/0.71</f>
        <v>1.4084507042253522</v>
      </c>
      <c r="J2445" s="3">
        <v>551</v>
      </c>
      <c r="K2445">
        <v>5.4249547920433994</v>
      </c>
      <c r="L2445">
        <v>0.9041591320072333</v>
      </c>
      <c r="M2445">
        <v>0.2</v>
      </c>
    </row>
    <row r="2446" spans="1:15" x14ac:dyDescent="0.25">
      <c r="A2446" t="s">
        <v>499</v>
      </c>
      <c r="B2446" s="1" t="s">
        <v>412</v>
      </c>
      <c r="C2446" s="1">
        <v>2016</v>
      </c>
      <c r="D2446" s="1">
        <v>4</v>
      </c>
      <c r="E2446" s="1">
        <v>4</v>
      </c>
      <c r="F2446" s="1">
        <v>4</v>
      </c>
      <c r="G2446" s="1">
        <v>0</v>
      </c>
      <c r="H2446" s="5">
        <v>0.81</v>
      </c>
      <c r="I2446" s="2">
        <f>1/1.94</f>
        <v>0.51546391752577325</v>
      </c>
      <c r="J2446" s="6">
        <v>553</v>
      </c>
      <c r="K2446" s="7">
        <v>5.4249547920433994</v>
      </c>
      <c r="L2446" s="7">
        <v>0.9041591320072333</v>
      </c>
      <c r="M2446">
        <v>0.2</v>
      </c>
      <c r="O2446" s="7"/>
    </row>
    <row r="2447" spans="1:15" x14ac:dyDescent="0.25">
      <c r="A2447" t="s">
        <v>499</v>
      </c>
      <c r="B2447" s="1" t="s">
        <v>412</v>
      </c>
      <c r="C2447" s="1">
        <v>2017</v>
      </c>
      <c r="D2447" s="1">
        <v>4</v>
      </c>
      <c r="E2447" s="1">
        <v>4</v>
      </c>
      <c r="F2447" s="1">
        <v>4</v>
      </c>
      <c r="G2447" s="1">
        <v>0</v>
      </c>
      <c r="H2447" s="5">
        <v>0.57999999999999996</v>
      </c>
      <c r="I2447" s="2">
        <f>1/1.05</f>
        <v>0.95238095238095233</v>
      </c>
      <c r="J2447">
        <v>543</v>
      </c>
      <c r="K2447">
        <v>5.4249547920433994</v>
      </c>
      <c r="L2447">
        <v>0.9041591320072333</v>
      </c>
      <c r="M2447">
        <v>0.2</v>
      </c>
    </row>
    <row r="2448" spans="1:15" x14ac:dyDescent="0.25">
      <c r="A2448" s="8" t="s">
        <v>499</v>
      </c>
      <c r="B2448" s="1" t="s">
        <v>412</v>
      </c>
      <c r="C2448" s="1">
        <v>2018</v>
      </c>
      <c r="D2448" s="1">
        <v>4</v>
      </c>
      <c r="E2448" s="1">
        <v>4</v>
      </c>
      <c r="F2448" s="1">
        <v>4</v>
      </c>
      <c r="G2448" s="1">
        <v>0</v>
      </c>
      <c r="H2448" s="5">
        <v>0.78</v>
      </c>
      <c r="I2448" s="2">
        <f>1/1.77</f>
        <v>0.56497175141242939</v>
      </c>
      <c r="J2448" s="3">
        <v>531</v>
      </c>
      <c r="K2448">
        <v>5.4249547920433994</v>
      </c>
      <c r="L2448">
        <v>0.9041591320072333</v>
      </c>
      <c r="M2448">
        <v>0.2</v>
      </c>
    </row>
    <row r="2449" spans="1:15" x14ac:dyDescent="0.25">
      <c r="A2449" s="8" t="s">
        <v>500</v>
      </c>
      <c r="B2449" s="1" t="s">
        <v>412</v>
      </c>
      <c r="C2449" s="1">
        <v>2014</v>
      </c>
      <c r="D2449" s="1">
        <v>1</v>
      </c>
      <c r="E2449" s="1">
        <v>2</v>
      </c>
      <c r="F2449" s="1">
        <v>1.5</v>
      </c>
      <c r="G2449" s="1">
        <v>1</v>
      </c>
      <c r="H2449" s="5">
        <v>0.69</v>
      </c>
      <c r="I2449" s="2">
        <f>1/0.99</f>
        <v>1.0101010101010102</v>
      </c>
      <c r="J2449" s="3">
        <v>39651</v>
      </c>
      <c r="K2449">
        <v>3.1788044760082812</v>
      </c>
      <c r="L2449">
        <v>6.1400980109541656</v>
      </c>
      <c r="M2449">
        <v>61.6</v>
      </c>
    </row>
    <row r="2450" spans="1:15" x14ac:dyDescent="0.25">
      <c r="A2450" s="8" t="s">
        <v>500</v>
      </c>
      <c r="B2450" s="1" t="s">
        <v>412</v>
      </c>
      <c r="C2450" s="1">
        <v>2015</v>
      </c>
      <c r="D2450" s="1">
        <v>1</v>
      </c>
      <c r="E2450" s="1">
        <v>2</v>
      </c>
      <c r="F2450" s="1">
        <v>1.5</v>
      </c>
      <c r="G2450" s="1">
        <v>1</v>
      </c>
      <c r="H2450" s="5">
        <v>0.79</v>
      </c>
      <c r="I2450" s="5">
        <v>1</v>
      </c>
      <c r="J2450" s="3">
        <v>39563</v>
      </c>
      <c r="K2450">
        <v>3.1788044760082812</v>
      </c>
      <c r="L2450">
        <v>6.1400980109541656</v>
      </c>
      <c r="M2450">
        <v>61.5</v>
      </c>
    </row>
    <row r="2451" spans="1:15" x14ac:dyDescent="0.25">
      <c r="A2451" t="s">
        <v>500</v>
      </c>
      <c r="B2451" s="1" t="s">
        <v>412</v>
      </c>
      <c r="C2451" s="1">
        <v>2016</v>
      </c>
      <c r="D2451" s="1">
        <v>1</v>
      </c>
      <c r="E2451" s="1">
        <v>2</v>
      </c>
      <c r="F2451" s="1">
        <v>1.5</v>
      </c>
      <c r="G2451" s="1">
        <v>1</v>
      </c>
      <c r="H2451" s="5">
        <v>0.94</v>
      </c>
      <c r="I2451" s="2">
        <f>1/1.04</f>
        <v>0.96153846153846145</v>
      </c>
      <c r="J2451" s="6">
        <v>38159</v>
      </c>
      <c r="K2451" s="7">
        <v>3.1788044760082812</v>
      </c>
      <c r="L2451" s="7">
        <v>6.1400980109541656</v>
      </c>
      <c r="M2451">
        <v>61</v>
      </c>
      <c r="O2451" s="7"/>
    </row>
    <row r="2452" spans="1:15" x14ac:dyDescent="0.25">
      <c r="A2452" t="s">
        <v>500</v>
      </c>
      <c r="B2452" s="1" t="s">
        <v>412</v>
      </c>
      <c r="C2452" s="1">
        <v>2017</v>
      </c>
      <c r="D2452" s="1">
        <v>1</v>
      </c>
      <c r="E2452" s="1">
        <v>2</v>
      </c>
      <c r="F2452" s="1">
        <v>1.5</v>
      </c>
      <c r="G2452" s="1">
        <v>1</v>
      </c>
      <c r="H2452" s="5">
        <v>1.02</v>
      </c>
      <c r="I2452" s="2">
        <f>1/1.02</f>
        <v>0.98039215686274506</v>
      </c>
      <c r="J2452">
        <v>38972</v>
      </c>
      <c r="K2452">
        <v>3.1788044760082812</v>
      </c>
      <c r="L2452">
        <v>6.1400980109541656</v>
      </c>
      <c r="M2452">
        <v>60.6</v>
      </c>
    </row>
    <row r="2453" spans="1:15" x14ac:dyDescent="0.25">
      <c r="A2453" s="8" t="s">
        <v>500</v>
      </c>
      <c r="B2453" s="1" t="s">
        <v>412</v>
      </c>
      <c r="C2453" s="1">
        <v>2018</v>
      </c>
      <c r="D2453" s="1">
        <v>1</v>
      </c>
      <c r="E2453" s="1">
        <v>2</v>
      </c>
      <c r="F2453" s="1">
        <v>1.5</v>
      </c>
      <c r="G2453" s="1">
        <v>1</v>
      </c>
      <c r="H2453" s="5">
        <v>0.62</v>
      </c>
      <c r="I2453" s="2">
        <f>1/0.98</f>
        <v>1.0204081632653061</v>
      </c>
      <c r="J2453" s="3">
        <v>39139</v>
      </c>
      <c r="K2453">
        <v>3.1788044760082812</v>
      </c>
      <c r="L2453">
        <v>6.1400980109541656</v>
      </c>
      <c r="M2453">
        <v>60.9</v>
      </c>
    </row>
    <row r="2454" spans="1:15" x14ac:dyDescent="0.25">
      <c r="A2454" s="8" t="s">
        <v>501</v>
      </c>
      <c r="B2454" s="1" t="s">
        <v>412</v>
      </c>
      <c r="C2454" s="1">
        <v>2014</v>
      </c>
      <c r="D2454" s="1">
        <v>5</v>
      </c>
      <c r="E2454" s="1">
        <v>5</v>
      </c>
      <c r="F2454" s="1">
        <v>5</v>
      </c>
      <c r="G2454" s="1">
        <v>0</v>
      </c>
      <c r="H2454" s="5">
        <v>0.13</v>
      </c>
      <c r="I2454" s="2">
        <v>8</v>
      </c>
      <c r="J2454" s="3">
        <v>150</v>
      </c>
      <c r="K2454">
        <v>37.908496732026144</v>
      </c>
      <c r="L2454">
        <v>9.1503267973856204</v>
      </c>
      <c r="M2454">
        <v>0</v>
      </c>
    </row>
    <row r="2455" spans="1:15" x14ac:dyDescent="0.25">
      <c r="A2455" s="8" t="s">
        <v>501</v>
      </c>
      <c r="B2455" s="1" t="s">
        <v>412</v>
      </c>
      <c r="C2455" s="1">
        <v>2015</v>
      </c>
      <c r="D2455" s="1">
        <v>5</v>
      </c>
      <c r="E2455" s="1">
        <v>5</v>
      </c>
      <c r="F2455" s="1">
        <v>5</v>
      </c>
      <c r="G2455" s="1">
        <v>0</v>
      </c>
      <c r="H2455" s="5">
        <v>0.09</v>
      </c>
      <c r="I2455" s="5">
        <v>8</v>
      </c>
      <c r="J2455" s="3">
        <v>155</v>
      </c>
      <c r="K2455">
        <v>37.908496732026144</v>
      </c>
      <c r="L2455">
        <v>9.1503267973856204</v>
      </c>
      <c r="M2455">
        <v>0</v>
      </c>
    </row>
    <row r="2456" spans="1:15" x14ac:dyDescent="0.25">
      <c r="A2456" t="s">
        <v>501</v>
      </c>
      <c r="B2456" s="1" t="s">
        <v>412</v>
      </c>
      <c r="C2456" s="1">
        <v>2016</v>
      </c>
      <c r="D2456" s="1">
        <v>5</v>
      </c>
      <c r="E2456" s="1">
        <v>5</v>
      </c>
      <c r="F2456" s="1">
        <v>5</v>
      </c>
      <c r="G2456" s="1">
        <v>0</v>
      </c>
      <c r="H2456" s="5">
        <v>0.14000000000000001</v>
      </c>
      <c r="I2456" s="2">
        <f>1/5.39</f>
        <v>0.1855287569573284</v>
      </c>
      <c r="J2456" s="6">
        <v>153</v>
      </c>
      <c r="K2456" s="7">
        <v>37.908496732026144</v>
      </c>
      <c r="L2456" s="7">
        <v>9.1503267973856204</v>
      </c>
      <c r="M2456">
        <v>0</v>
      </c>
      <c r="O2456" s="7"/>
    </row>
    <row r="2457" spans="1:15" x14ac:dyDescent="0.25">
      <c r="A2457" t="s">
        <v>501</v>
      </c>
      <c r="B2457" s="1" t="s">
        <v>412</v>
      </c>
      <c r="C2457" s="1">
        <v>2017</v>
      </c>
      <c r="D2457" s="1">
        <v>5</v>
      </c>
      <c r="E2457" s="1">
        <v>5</v>
      </c>
      <c r="F2457" s="1">
        <v>5</v>
      </c>
      <c r="G2457" s="1">
        <v>0</v>
      </c>
      <c r="H2457" s="5">
        <v>0.83</v>
      </c>
      <c r="I2457" s="5">
        <v>8</v>
      </c>
      <c r="J2457">
        <v>163</v>
      </c>
      <c r="K2457">
        <v>37.908496732026144</v>
      </c>
      <c r="L2457">
        <v>9.1503267973856204</v>
      </c>
      <c r="M2457">
        <v>0</v>
      </c>
    </row>
    <row r="2458" spans="1:15" x14ac:dyDescent="0.25">
      <c r="A2458" s="8" t="s">
        <v>501</v>
      </c>
      <c r="B2458" s="1" t="s">
        <v>412</v>
      </c>
      <c r="C2458" s="1">
        <v>2018</v>
      </c>
      <c r="D2458" s="1">
        <v>5</v>
      </c>
      <c r="E2458" s="1">
        <v>5</v>
      </c>
      <c r="F2458" s="1">
        <v>5</v>
      </c>
      <c r="G2458" s="1">
        <v>0</v>
      </c>
      <c r="H2458" s="5">
        <v>1.47</v>
      </c>
      <c r="I2458" s="2">
        <f>1/2.23</f>
        <v>0.44843049327354262</v>
      </c>
      <c r="J2458" s="3">
        <v>162</v>
      </c>
      <c r="K2458">
        <v>37.908496732026144</v>
      </c>
      <c r="L2458">
        <v>9.1503267973856204</v>
      </c>
      <c r="M2458">
        <v>0</v>
      </c>
    </row>
    <row r="2459" spans="1:15" x14ac:dyDescent="0.25">
      <c r="A2459" s="8" t="s">
        <v>502</v>
      </c>
      <c r="B2459" s="1" t="s">
        <v>412</v>
      </c>
      <c r="C2459" s="1">
        <v>2014</v>
      </c>
      <c r="D2459" s="1">
        <v>1</v>
      </c>
      <c r="E2459" s="1">
        <v>2</v>
      </c>
      <c r="F2459" s="1">
        <v>1.5</v>
      </c>
      <c r="G2459" s="1">
        <v>1</v>
      </c>
      <c r="H2459" s="5">
        <v>0.76</v>
      </c>
      <c r="I2459" s="2">
        <f>1/1.12</f>
        <v>0.89285714285714279</v>
      </c>
      <c r="J2459" s="3">
        <v>16542</v>
      </c>
      <c r="K2459">
        <v>2.3538572113080978</v>
      </c>
      <c r="L2459">
        <v>2.922855773838045</v>
      </c>
      <c r="M2459">
        <v>9.6999999999999993</v>
      </c>
    </row>
    <row r="2460" spans="1:15" x14ac:dyDescent="0.25">
      <c r="A2460" s="8" t="s">
        <v>502</v>
      </c>
      <c r="B2460" s="1" t="s">
        <v>412</v>
      </c>
      <c r="C2460" s="1">
        <v>2015</v>
      </c>
      <c r="D2460" s="1">
        <v>1</v>
      </c>
      <c r="E2460" s="1">
        <v>2</v>
      </c>
      <c r="F2460" s="1">
        <v>1.5</v>
      </c>
      <c r="G2460" s="1">
        <v>1</v>
      </c>
      <c r="H2460" s="5">
        <v>1.18</v>
      </c>
      <c r="I2460" s="2">
        <f>1/0.98</f>
        <v>1.0204081632653061</v>
      </c>
      <c r="J2460" s="3">
        <v>16909</v>
      </c>
      <c r="K2460">
        <v>2.3538572113080978</v>
      </c>
      <c r="L2460">
        <v>2.922855773838045</v>
      </c>
      <c r="M2460">
        <v>9.9</v>
      </c>
    </row>
    <row r="2461" spans="1:15" x14ac:dyDescent="0.25">
      <c r="A2461" t="s">
        <v>502</v>
      </c>
      <c r="B2461" s="1" t="s">
        <v>412</v>
      </c>
      <c r="C2461" s="1">
        <v>2016</v>
      </c>
      <c r="D2461" s="1">
        <v>1</v>
      </c>
      <c r="E2461" s="1">
        <v>2</v>
      </c>
      <c r="F2461" s="1">
        <v>1.5</v>
      </c>
      <c r="G2461" s="1">
        <v>1</v>
      </c>
      <c r="H2461" s="5">
        <v>1</v>
      </c>
      <c r="I2461" s="2">
        <f>1/1.16</f>
        <v>0.86206896551724144</v>
      </c>
      <c r="J2461" s="6">
        <v>16696</v>
      </c>
      <c r="K2461" s="7">
        <v>2.3538572113080978</v>
      </c>
      <c r="L2461" s="7">
        <v>2.922855773838045</v>
      </c>
      <c r="M2461">
        <v>10.1</v>
      </c>
      <c r="O2461" s="7"/>
    </row>
    <row r="2462" spans="1:15" x14ac:dyDescent="0.25">
      <c r="A2462" t="s">
        <v>502</v>
      </c>
      <c r="B2462" s="1" t="s">
        <v>412</v>
      </c>
      <c r="C2462" s="1">
        <v>2017</v>
      </c>
      <c r="D2462" s="1">
        <v>1</v>
      </c>
      <c r="E2462" s="1">
        <v>2</v>
      </c>
      <c r="F2462" s="1">
        <v>1.5</v>
      </c>
      <c r="G2462" s="1">
        <v>1</v>
      </c>
      <c r="H2462" s="5">
        <v>1.1200000000000001</v>
      </c>
      <c r="I2462" s="5">
        <v>1</v>
      </c>
      <c r="J2462">
        <v>17338</v>
      </c>
      <c r="K2462">
        <v>2.3538572113080978</v>
      </c>
      <c r="L2462">
        <v>2.922855773838045</v>
      </c>
      <c r="M2462">
        <v>10.199999999999999</v>
      </c>
    </row>
    <row r="2463" spans="1:15" x14ac:dyDescent="0.25">
      <c r="A2463" s="8" t="s">
        <v>502</v>
      </c>
      <c r="B2463" s="1" t="s">
        <v>412</v>
      </c>
      <c r="C2463" s="1">
        <v>2018</v>
      </c>
      <c r="D2463" s="1">
        <v>1</v>
      </c>
      <c r="E2463" s="1">
        <v>2</v>
      </c>
      <c r="F2463" s="1">
        <v>1.5</v>
      </c>
      <c r="G2463" s="1">
        <v>1</v>
      </c>
      <c r="H2463" s="5">
        <v>0.75</v>
      </c>
      <c r="I2463" s="2">
        <f>1/1.07</f>
        <v>0.93457943925233644</v>
      </c>
      <c r="J2463" s="3">
        <v>17653</v>
      </c>
      <c r="K2463">
        <v>2.3538572113080978</v>
      </c>
      <c r="L2463">
        <v>2.922855773838045</v>
      </c>
      <c r="M2463">
        <v>10.4</v>
      </c>
    </row>
    <row r="2464" spans="1:15" x14ac:dyDescent="0.25">
      <c r="A2464" s="8" t="s">
        <v>503</v>
      </c>
      <c r="B2464" s="1" t="s">
        <v>412</v>
      </c>
      <c r="C2464" s="1">
        <v>2014</v>
      </c>
      <c r="D2464" s="1">
        <v>2</v>
      </c>
      <c r="E2464" s="1">
        <v>3</v>
      </c>
      <c r="F2464" s="1">
        <v>2.5</v>
      </c>
      <c r="G2464" s="1">
        <v>1</v>
      </c>
      <c r="H2464" s="5">
        <v>1.05</v>
      </c>
      <c r="I2464" s="2">
        <f>1/1.84</f>
        <v>0.54347826086956519</v>
      </c>
      <c r="J2464" s="3">
        <v>1350</v>
      </c>
      <c r="K2464">
        <v>1.6553799849510911</v>
      </c>
      <c r="L2464">
        <v>2.6335590669676447</v>
      </c>
      <c r="M2464">
        <v>0.4</v>
      </c>
    </row>
    <row r="2465" spans="1:15" x14ac:dyDescent="0.25">
      <c r="A2465" s="8" t="s">
        <v>503</v>
      </c>
      <c r="B2465" s="1" t="s">
        <v>412</v>
      </c>
      <c r="C2465" s="1">
        <v>2015</v>
      </c>
      <c r="D2465" s="1">
        <v>2</v>
      </c>
      <c r="E2465" s="1">
        <v>3</v>
      </c>
      <c r="F2465" s="1">
        <v>2.5</v>
      </c>
      <c r="G2465" s="1">
        <v>1</v>
      </c>
      <c r="H2465" s="5">
        <v>0.61</v>
      </c>
      <c r="I2465" s="2">
        <f>1/1.67</f>
        <v>0.5988023952095809</v>
      </c>
      <c r="J2465" s="3">
        <v>1352</v>
      </c>
      <c r="K2465">
        <v>1.6553799849510911</v>
      </c>
      <c r="L2465">
        <v>2.6335590669676447</v>
      </c>
      <c r="M2465">
        <v>0.4</v>
      </c>
    </row>
    <row r="2466" spans="1:15" x14ac:dyDescent="0.25">
      <c r="A2466" t="s">
        <v>503</v>
      </c>
      <c r="B2466" s="1" t="s">
        <v>412</v>
      </c>
      <c r="C2466" s="1">
        <v>2016</v>
      </c>
      <c r="D2466" s="1">
        <v>2</v>
      </c>
      <c r="E2466" s="1">
        <v>3</v>
      </c>
      <c r="F2466" s="1">
        <v>2.5</v>
      </c>
      <c r="G2466" s="1">
        <v>1</v>
      </c>
      <c r="H2466" s="5">
        <v>1.48</v>
      </c>
      <c r="I2466" s="2">
        <f>1/1.96</f>
        <v>0.51020408163265307</v>
      </c>
      <c r="J2466" s="6">
        <v>1329</v>
      </c>
      <c r="K2466" s="7">
        <v>1.6553799849510911</v>
      </c>
      <c r="L2466" s="7">
        <v>2.6335590669676447</v>
      </c>
      <c r="M2466">
        <v>0.4</v>
      </c>
      <c r="O2466" s="7"/>
    </row>
    <row r="2467" spans="1:15" x14ac:dyDescent="0.25">
      <c r="A2467" t="s">
        <v>503</v>
      </c>
      <c r="B2467" s="1" t="s">
        <v>412</v>
      </c>
      <c r="C2467" s="1">
        <v>2017</v>
      </c>
      <c r="D2467" s="1">
        <v>2</v>
      </c>
      <c r="E2467" s="1">
        <v>3</v>
      </c>
      <c r="F2467" s="1">
        <v>2.5</v>
      </c>
      <c r="G2467" s="1">
        <v>1</v>
      </c>
      <c r="H2467" s="5">
        <v>0.75</v>
      </c>
      <c r="I2467" s="2">
        <f>1/1.05</f>
        <v>0.95238095238095233</v>
      </c>
      <c r="J2467">
        <v>1347</v>
      </c>
      <c r="K2467">
        <v>1.6553799849510911</v>
      </c>
      <c r="L2467">
        <v>2.6335590669676447</v>
      </c>
      <c r="M2467">
        <v>0.4</v>
      </c>
    </row>
    <row r="2468" spans="1:15" x14ac:dyDescent="0.25">
      <c r="A2468" s="8" t="s">
        <v>503</v>
      </c>
      <c r="B2468" s="1" t="s">
        <v>412</v>
      </c>
      <c r="C2468" s="1">
        <v>2018</v>
      </c>
      <c r="D2468" s="1">
        <v>2</v>
      </c>
      <c r="E2468" s="1">
        <v>3</v>
      </c>
      <c r="F2468" s="1">
        <v>2.5</v>
      </c>
      <c r="G2468" s="1">
        <v>1</v>
      </c>
      <c r="H2468" s="5">
        <v>1.08</v>
      </c>
      <c r="I2468" s="2">
        <f>1/1.14</f>
        <v>0.87719298245614041</v>
      </c>
      <c r="J2468" s="3">
        <v>1363</v>
      </c>
      <c r="K2468">
        <v>1.6553799849510911</v>
      </c>
      <c r="L2468">
        <v>2.6335590669676447</v>
      </c>
      <c r="M2468">
        <v>0.4</v>
      </c>
    </row>
    <row r="2469" spans="1:15" x14ac:dyDescent="0.25">
      <c r="A2469" s="8" t="s">
        <v>504</v>
      </c>
      <c r="B2469" s="1" t="s">
        <v>412</v>
      </c>
      <c r="C2469" s="1">
        <v>2014</v>
      </c>
      <c r="D2469" s="1">
        <v>4</v>
      </c>
      <c r="E2469" s="1">
        <v>4</v>
      </c>
      <c r="F2469" s="1">
        <v>4</v>
      </c>
      <c r="G2469" s="1">
        <v>0</v>
      </c>
      <c r="H2469" s="5">
        <v>2.41</v>
      </c>
      <c r="I2469" s="2">
        <f>1/1.91</f>
        <v>0.52356020942408377</v>
      </c>
      <c r="J2469" s="3">
        <v>818</v>
      </c>
      <c r="K2469">
        <v>1.9753086419753085</v>
      </c>
      <c r="L2469">
        <v>3.2098765432098766</v>
      </c>
      <c r="M2469">
        <v>0.2</v>
      </c>
    </row>
    <row r="2470" spans="1:15" x14ac:dyDescent="0.25">
      <c r="A2470" s="8" t="s">
        <v>504</v>
      </c>
      <c r="B2470" s="1" t="s">
        <v>412</v>
      </c>
      <c r="C2470" s="1">
        <v>2015</v>
      </c>
      <c r="D2470" s="1">
        <v>4</v>
      </c>
      <c r="E2470" s="1">
        <v>4</v>
      </c>
      <c r="F2470" s="1">
        <v>4</v>
      </c>
      <c r="G2470" s="1">
        <v>0</v>
      </c>
      <c r="H2470" s="5">
        <v>0.49</v>
      </c>
      <c r="I2470" s="2">
        <f>1/0.71</f>
        <v>1.4084507042253522</v>
      </c>
      <c r="J2470" s="3">
        <v>820</v>
      </c>
      <c r="K2470">
        <v>1.9753086419753085</v>
      </c>
      <c r="L2470">
        <v>3.2098765432098766</v>
      </c>
      <c r="M2470">
        <v>0.2</v>
      </c>
    </row>
    <row r="2471" spans="1:15" x14ac:dyDescent="0.25">
      <c r="A2471" t="s">
        <v>504</v>
      </c>
      <c r="B2471" s="1" t="s">
        <v>412</v>
      </c>
      <c r="C2471" s="1">
        <v>2016</v>
      </c>
      <c r="D2471" s="1">
        <v>4</v>
      </c>
      <c r="E2471" s="1">
        <v>4</v>
      </c>
      <c r="F2471" s="1">
        <v>4</v>
      </c>
      <c r="G2471" s="1">
        <v>0</v>
      </c>
      <c r="H2471" s="5">
        <v>0.7</v>
      </c>
      <c r="I2471" s="2">
        <f>1/2.51</f>
        <v>0.39840637450199207</v>
      </c>
      <c r="J2471" s="6">
        <v>810</v>
      </c>
      <c r="K2471" s="7">
        <v>1.9753086419753085</v>
      </c>
      <c r="L2471" s="7">
        <v>3.2098765432098766</v>
      </c>
      <c r="M2471">
        <v>0.2</v>
      </c>
      <c r="O2471" s="7"/>
    </row>
    <row r="2472" spans="1:15" x14ac:dyDescent="0.25">
      <c r="A2472" t="s">
        <v>504</v>
      </c>
      <c r="B2472" s="1" t="s">
        <v>412</v>
      </c>
      <c r="C2472" s="1">
        <v>2017</v>
      </c>
      <c r="D2472" s="1">
        <v>4</v>
      </c>
      <c r="E2472" s="1">
        <v>4</v>
      </c>
      <c r="F2472" s="1">
        <v>4</v>
      </c>
      <c r="G2472" s="1">
        <v>0</v>
      </c>
      <c r="H2472" s="5">
        <v>0.91</v>
      </c>
      <c r="I2472" s="2">
        <f>1/1.38</f>
        <v>0.7246376811594204</v>
      </c>
      <c r="J2472">
        <v>829</v>
      </c>
      <c r="K2472">
        <v>1.9753086419753085</v>
      </c>
      <c r="L2472">
        <v>3.2098765432098766</v>
      </c>
      <c r="M2472">
        <v>0.2</v>
      </c>
    </row>
    <row r="2473" spans="1:15" x14ac:dyDescent="0.25">
      <c r="A2473" s="8" t="s">
        <v>504</v>
      </c>
      <c r="B2473" s="1" t="s">
        <v>412</v>
      </c>
      <c r="C2473" s="1">
        <v>2018</v>
      </c>
      <c r="D2473" s="1">
        <v>4</v>
      </c>
      <c r="E2473" s="1">
        <v>4</v>
      </c>
      <c r="F2473" s="1">
        <v>4</v>
      </c>
      <c r="G2473" s="1">
        <v>0</v>
      </c>
      <c r="H2473" s="5">
        <v>0.72</v>
      </c>
      <c r="I2473" s="2">
        <f>1/2.13</f>
        <v>0.46948356807511737</v>
      </c>
      <c r="J2473" s="3">
        <v>837</v>
      </c>
      <c r="K2473">
        <v>1.9753086419753085</v>
      </c>
      <c r="L2473">
        <v>3.2098765432098766</v>
      </c>
      <c r="M2473">
        <v>0.2</v>
      </c>
    </row>
    <row r="2474" spans="1:15" x14ac:dyDescent="0.25">
      <c r="A2474" s="8" t="s">
        <v>505</v>
      </c>
      <c r="B2474" s="1" t="s">
        <v>412</v>
      </c>
      <c r="C2474" s="1">
        <v>2014</v>
      </c>
      <c r="D2474" s="1">
        <v>3</v>
      </c>
      <c r="E2474" s="1">
        <v>3</v>
      </c>
      <c r="F2474" s="1">
        <v>3</v>
      </c>
      <c r="G2474" s="1">
        <v>0</v>
      </c>
      <c r="H2474" s="5">
        <v>2.62</v>
      </c>
      <c r="I2474" s="5">
        <v>1</v>
      </c>
      <c r="J2474" s="3">
        <v>5339</v>
      </c>
      <c r="K2474">
        <v>6.979449398991858</v>
      </c>
      <c r="L2474">
        <v>5.7386583947266381</v>
      </c>
      <c r="M2474">
        <v>3.3</v>
      </c>
    </row>
    <row r="2475" spans="1:15" x14ac:dyDescent="0.25">
      <c r="A2475" s="8" t="s">
        <v>505</v>
      </c>
      <c r="B2475" s="1" t="s">
        <v>412</v>
      </c>
      <c r="C2475" s="1">
        <v>2015</v>
      </c>
      <c r="D2475" s="1">
        <v>3</v>
      </c>
      <c r="E2475" s="1">
        <v>3</v>
      </c>
      <c r="F2475" s="1">
        <v>3</v>
      </c>
      <c r="G2475" s="1">
        <v>0</v>
      </c>
      <c r="H2475" s="5">
        <v>0.8</v>
      </c>
      <c r="I2475" s="2">
        <f>1/0.73</f>
        <v>1.3698630136986301</v>
      </c>
      <c r="J2475" s="3">
        <v>5333</v>
      </c>
      <c r="K2475">
        <v>6.979449398991858</v>
      </c>
      <c r="L2475">
        <v>5.7386583947266381</v>
      </c>
      <c r="M2475">
        <v>3.3</v>
      </c>
    </row>
    <row r="2476" spans="1:15" x14ac:dyDescent="0.25">
      <c r="A2476" t="s">
        <v>505</v>
      </c>
      <c r="B2476" s="1" t="s">
        <v>412</v>
      </c>
      <c r="C2476" s="1">
        <v>2016</v>
      </c>
      <c r="D2476" s="1">
        <v>3</v>
      </c>
      <c r="E2476" s="1">
        <v>3</v>
      </c>
      <c r="F2476" s="1">
        <v>3</v>
      </c>
      <c r="G2476" s="1">
        <v>0</v>
      </c>
      <c r="H2476" s="5">
        <v>1.0900000000000001</v>
      </c>
      <c r="I2476" s="2">
        <f>1/0.54</f>
        <v>1.8518518518518516</v>
      </c>
      <c r="J2476" s="6">
        <v>5158</v>
      </c>
      <c r="K2476" s="7">
        <v>6.979449398991858</v>
      </c>
      <c r="L2476" s="7">
        <v>5.7386583947266381</v>
      </c>
      <c r="M2476">
        <v>3.2</v>
      </c>
      <c r="O2476" s="7"/>
    </row>
    <row r="2477" spans="1:15" x14ac:dyDescent="0.25">
      <c r="A2477" t="s">
        <v>505</v>
      </c>
      <c r="B2477" s="1" t="s">
        <v>412</v>
      </c>
      <c r="C2477" s="1">
        <v>2017</v>
      </c>
      <c r="D2477" s="1">
        <v>3</v>
      </c>
      <c r="E2477" s="1">
        <v>3</v>
      </c>
      <c r="F2477" s="1">
        <v>3</v>
      </c>
      <c r="G2477" s="1">
        <v>0</v>
      </c>
      <c r="H2477" s="2">
        <f>(2704478+1621357)/(965181+1591096)</f>
        <v>1.6922403166792956</v>
      </c>
      <c r="I2477" s="2">
        <f>7806508/15901766</f>
        <v>0.49092081973788321</v>
      </c>
      <c r="J2477">
        <v>5193</v>
      </c>
      <c r="K2477">
        <v>6.979449398991858</v>
      </c>
      <c r="L2477">
        <v>5.7386583947266381</v>
      </c>
      <c r="M2477">
        <v>3.2</v>
      </c>
    </row>
    <row r="2478" spans="1:15" x14ac:dyDescent="0.25">
      <c r="A2478" s="8" t="s">
        <v>505</v>
      </c>
      <c r="B2478" s="1" t="s">
        <v>412</v>
      </c>
      <c r="C2478" s="1">
        <v>2018</v>
      </c>
      <c r="D2478" s="1">
        <v>3</v>
      </c>
      <c r="E2478" s="1">
        <v>3</v>
      </c>
      <c r="F2478" s="1">
        <v>3</v>
      </c>
      <c r="G2478" s="1">
        <v>0</v>
      </c>
      <c r="H2478" s="2">
        <f>(1892950+2218342)/(1654663+1067254)</f>
        <v>1.5104398848311686</v>
      </c>
      <c r="I2478" s="2">
        <f>7668928/12354656</f>
        <v>0.62073181155347423</v>
      </c>
      <c r="J2478" s="3">
        <v>5040</v>
      </c>
      <c r="K2478">
        <v>6.979449398991858</v>
      </c>
      <c r="L2478">
        <v>5.7386583947266381</v>
      </c>
      <c r="M2478">
        <v>3.1</v>
      </c>
    </row>
    <row r="2479" spans="1:15" x14ac:dyDescent="0.25">
      <c r="A2479" s="8" t="s">
        <v>506</v>
      </c>
      <c r="B2479" s="1" t="s">
        <v>412</v>
      </c>
      <c r="C2479" s="1">
        <v>2014</v>
      </c>
      <c r="D2479" s="1">
        <v>1</v>
      </c>
      <c r="E2479" s="1">
        <v>1</v>
      </c>
      <c r="F2479" s="1">
        <v>1</v>
      </c>
      <c r="G2479" s="1">
        <v>0</v>
      </c>
      <c r="H2479" s="5">
        <v>1.17</v>
      </c>
      <c r="I2479" s="2">
        <f>1/0.95</f>
        <v>1.0526315789473684</v>
      </c>
      <c r="J2479" s="3">
        <v>22686</v>
      </c>
      <c r="K2479">
        <v>0.28890783366486694</v>
      </c>
      <c r="L2479">
        <v>15.080041678507152</v>
      </c>
      <c r="M2479">
        <v>1154.8</v>
      </c>
    </row>
    <row r="2480" spans="1:15" x14ac:dyDescent="0.25">
      <c r="A2480" s="8" t="s">
        <v>506</v>
      </c>
      <c r="B2480" s="1" t="s">
        <v>412</v>
      </c>
      <c r="C2480" s="1">
        <v>2015</v>
      </c>
      <c r="D2480" s="1">
        <v>1</v>
      </c>
      <c r="E2480" s="1">
        <v>1</v>
      </c>
      <c r="F2480" s="1">
        <v>1</v>
      </c>
      <c r="G2480" s="1">
        <v>0</v>
      </c>
      <c r="H2480" s="5">
        <v>0.92</v>
      </c>
      <c r="I2480" s="2">
        <f>1/0.94</f>
        <v>1.0638297872340425</v>
      </c>
      <c r="J2480" s="3">
        <v>22435</v>
      </c>
      <c r="K2480">
        <v>0.28890783366486694</v>
      </c>
      <c r="L2480">
        <v>15.080041678507152</v>
      </c>
      <c r="M2480">
        <v>1142</v>
      </c>
    </row>
    <row r="2481" spans="1:15" x14ac:dyDescent="0.25">
      <c r="A2481" t="s">
        <v>506</v>
      </c>
      <c r="B2481" s="1" t="s">
        <v>412</v>
      </c>
      <c r="C2481" s="1">
        <v>2016</v>
      </c>
      <c r="D2481" s="1">
        <v>1</v>
      </c>
      <c r="E2481" s="1">
        <v>1</v>
      </c>
      <c r="F2481" s="1">
        <v>1</v>
      </c>
      <c r="G2481" s="1">
        <v>0</v>
      </c>
      <c r="H2481" s="5">
        <v>1.29</v>
      </c>
      <c r="I2481" s="2">
        <f>1/1.02</f>
        <v>0.98039215686274506</v>
      </c>
      <c r="J2481" s="6">
        <v>21114</v>
      </c>
      <c r="K2481" s="7">
        <v>0.28890783366486694</v>
      </c>
      <c r="L2481" s="7">
        <v>15.080041678507152</v>
      </c>
      <c r="M2481">
        <v>1125.4000000000001</v>
      </c>
      <c r="O2481" s="7"/>
    </row>
    <row r="2482" spans="1:15" x14ac:dyDescent="0.25">
      <c r="A2482" t="s">
        <v>506</v>
      </c>
      <c r="B2482" s="1" t="s">
        <v>412</v>
      </c>
      <c r="C2482" s="1">
        <v>2017</v>
      </c>
      <c r="D2482" s="1">
        <v>1</v>
      </c>
      <c r="E2482" s="1">
        <v>1</v>
      </c>
      <c r="F2482" s="1">
        <v>1</v>
      </c>
      <c r="G2482" s="1">
        <v>0</v>
      </c>
      <c r="H2482" s="5">
        <v>1.65</v>
      </c>
      <c r="I2482" s="2">
        <f>1/0.98</f>
        <v>1.0204081632653061</v>
      </c>
      <c r="J2482">
        <v>22349</v>
      </c>
      <c r="K2482">
        <v>0.28890783366486694</v>
      </c>
      <c r="L2482">
        <v>15.080041678507152</v>
      </c>
      <c r="M2482">
        <v>1137.5999999999999</v>
      </c>
    </row>
    <row r="2483" spans="1:15" x14ac:dyDescent="0.25">
      <c r="A2483" s="8" t="s">
        <v>506</v>
      </c>
      <c r="B2483" s="1" t="s">
        <v>412</v>
      </c>
      <c r="C2483" s="1">
        <v>2018</v>
      </c>
      <c r="D2483" s="1">
        <v>1</v>
      </c>
      <c r="E2483" s="1">
        <v>1</v>
      </c>
      <c r="F2483" s="1">
        <v>1</v>
      </c>
      <c r="G2483" s="1">
        <v>0</v>
      </c>
      <c r="H2483" s="5">
        <v>1.45</v>
      </c>
      <c r="I2483" s="2">
        <f>1/1.12</f>
        <v>0.89285714285714279</v>
      </c>
      <c r="J2483" s="3">
        <v>22554</v>
      </c>
      <c r="K2483">
        <v>0.28890783366486694</v>
      </c>
      <c r="L2483">
        <v>15.080041678507152</v>
      </c>
      <c r="M2483">
        <v>1148.0999999999999</v>
      </c>
    </row>
    <row r="2484" spans="1:15" x14ac:dyDescent="0.25">
      <c r="A2484" s="8" t="s">
        <v>507</v>
      </c>
      <c r="B2484" s="1" t="s">
        <v>412</v>
      </c>
      <c r="C2484" s="1">
        <v>2014</v>
      </c>
      <c r="D2484" s="1">
        <v>5</v>
      </c>
      <c r="E2484" s="1">
        <v>5</v>
      </c>
      <c r="F2484" s="1">
        <v>5</v>
      </c>
      <c r="G2484" s="1">
        <v>0</v>
      </c>
      <c r="H2484" s="5">
        <v>1.72</v>
      </c>
      <c r="I2484" s="2">
        <f>1/3.46</f>
        <v>0.28901734104046245</v>
      </c>
      <c r="J2484" s="3">
        <v>1705</v>
      </c>
      <c r="K2484">
        <v>86.05230386052304</v>
      </c>
      <c r="L2484">
        <v>80.635118306351188</v>
      </c>
      <c r="M2484">
        <v>0</v>
      </c>
    </row>
    <row r="2485" spans="1:15" x14ac:dyDescent="0.25">
      <c r="A2485" s="8" t="s">
        <v>507</v>
      </c>
      <c r="B2485" s="1" t="s">
        <v>412</v>
      </c>
      <c r="C2485" s="1">
        <v>2015</v>
      </c>
      <c r="D2485" s="1">
        <v>5</v>
      </c>
      <c r="E2485" s="1">
        <v>5</v>
      </c>
      <c r="F2485" s="1">
        <v>5</v>
      </c>
      <c r="G2485" s="1">
        <v>0</v>
      </c>
      <c r="H2485" s="5">
        <v>1.7</v>
      </c>
      <c r="I2485" s="5">
        <v>8</v>
      </c>
      <c r="J2485" s="3">
        <v>1713</v>
      </c>
      <c r="K2485">
        <v>86.05230386052304</v>
      </c>
      <c r="L2485">
        <v>80.635118306351188</v>
      </c>
      <c r="M2485">
        <v>0</v>
      </c>
    </row>
    <row r="2486" spans="1:15" x14ac:dyDescent="0.25">
      <c r="A2486" t="s">
        <v>507</v>
      </c>
      <c r="B2486" s="1" t="s">
        <v>412</v>
      </c>
      <c r="C2486" s="1">
        <v>2016</v>
      </c>
      <c r="D2486" s="1">
        <v>5</v>
      </c>
      <c r="E2486" s="1">
        <v>5</v>
      </c>
      <c r="F2486" s="1">
        <v>5</v>
      </c>
      <c r="G2486" s="1">
        <v>0</v>
      </c>
      <c r="H2486" s="5">
        <v>1.96</v>
      </c>
      <c r="I2486" s="2">
        <f>1/4.92</f>
        <v>0.2032520325203252</v>
      </c>
      <c r="J2486" s="6">
        <v>1606</v>
      </c>
      <c r="K2486" s="7">
        <v>86.05230386052304</v>
      </c>
      <c r="L2486" s="7">
        <v>80.635118306351188</v>
      </c>
      <c r="M2486">
        <v>0</v>
      </c>
      <c r="O2486" s="7"/>
    </row>
    <row r="2487" spans="1:15" x14ac:dyDescent="0.25">
      <c r="A2487" t="s">
        <v>507</v>
      </c>
      <c r="B2487" s="1" t="s">
        <v>412</v>
      </c>
      <c r="C2487" s="1">
        <v>2017</v>
      </c>
      <c r="D2487" s="1">
        <v>5</v>
      </c>
      <c r="E2487" s="1">
        <v>5</v>
      </c>
      <c r="F2487" s="1">
        <v>5</v>
      </c>
      <c r="G2487" s="1">
        <v>0</v>
      </c>
      <c r="H2487" s="5">
        <v>1.07</v>
      </c>
      <c r="I2487" s="2">
        <f>1/3.46</f>
        <v>0.28901734104046245</v>
      </c>
      <c r="J2487">
        <v>1723</v>
      </c>
      <c r="K2487">
        <v>86.05230386052304</v>
      </c>
      <c r="L2487">
        <v>80.635118306351188</v>
      </c>
      <c r="M2487">
        <v>0</v>
      </c>
    </row>
    <row r="2488" spans="1:15" x14ac:dyDescent="0.25">
      <c r="A2488" s="8" t="s">
        <v>507</v>
      </c>
      <c r="B2488" s="1" t="s">
        <v>412</v>
      </c>
      <c r="C2488" s="1">
        <v>2018</v>
      </c>
      <c r="D2488" s="1">
        <v>5</v>
      </c>
      <c r="E2488" s="1">
        <v>5</v>
      </c>
      <c r="F2488" s="1">
        <v>5</v>
      </c>
      <c r="G2488" s="1">
        <v>0</v>
      </c>
      <c r="H2488" s="5">
        <v>1.6</v>
      </c>
      <c r="I2488" s="2">
        <f>1/0.03</f>
        <v>33.333333333333336</v>
      </c>
      <c r="J2488" s="3">
        <v>1747</v>
      </c>
      <c r="K2488">
        <v>86.05230386052304</v>
      </c>
      <c r="L2488">
        <v>80.635118306351188</v>
      </c>
      <c r="M2488">
        <v>0</v>
      </c>
    </row>
    <row r="2489" spans="1:15" x14ac:dyDescent="0.25">
      <c r="A2489" s="8" t="s">
        <v>508</v>
      </c>
      <c r="B2489" s="1" t="s">
        <v>412</v>
      </c>
      <c r="C2489" s="1">
        <v>2014</v>
      </c>
      <c r="D2489" s="1">
        <v>2</v>
      </c>
      <c r="E2489" s="1">
        <v>2</v>
      </c>
      <c r="F2489" s="1">
        <v>2</v>
      </c>
      <c r="G2489" s="1">
        <v>0</v>
      </c>
      <c r="H2489" s="5">
        <v>0.68</v>
      </c>
      <c r="I2489" s="2">
        <f>100/112</f>
        <v>0.8928571428571429</v>
      </c>
      <c r="J2489" s="3">
        <v>11570</v>
      </c>
      <c r="K2489">
        <v>5.7849752586594692</v>
      </c>
      <c r="L2489">
        <v>5.0022492127755287</v>
      </c>
      <c r="M2489">
        <v>8.1</v>
      </c>
    </row>
    <row r="2490" spans="1:15" x14ac:dyDescent="0.25">
      <c r="A2490" s="8" t="s">
        <v>508</v>
      </c>
      <c r="B2490" s="1" t="s">
        <v>412</v>
      </c>
      <c r="C2490" s="1">
        <v>2015</v>
      </c>
      <c r="D2490" s="1">
        <v>2</v>
      </c>
      <c r="E2490" s="1">
        <v>2</v>
      </c>
      <c r="F2490" s="1">
        <v>2</v>
      </c>
      <c r="G2490" s="1">
        <v>0</v>
      </c>
      <c r="H2490" s="5">
        <v>0.73</v>
      </c>
      <c r="I2490" s="2">
        <f>100/102</f>
        <v>0.98039215686274506</v>
      </c>
      <c r="J2490" s="3">
        <v>11420</v>
      </c>
      <c r="K2490">
        <v>5.7849752586594692</v>
      </c>
      <c r="L2490">
        <v>5.0022492127755287</v>
      </c>
      <c r="M2490">
        <v>8</v>
      </c>
    </row>
    <row r="2491" spans="1:15" x14ac:dyDescent="0.25">
      <c r="A2491" t="s">
        <v>508</v>
      </c>
      <c r="B2491" s="1" t="s">
        <v>412</v>
      </c>
      <c r="C2491" s="1">
        <v>2016</v>
      </c>
      <c r="D2491" s="1">
        <v>2</v>
      </c>
      <c r="E2491" s="1">
        <v>2</v>
      </c>
      <c r="F2491" s="1">
        <v>2</v>
      </c>
      <c r="G2491" s="1">
        <v>0</v>
      </c>
      <c r="H2491" s="5">
        <v>0.91</v>
      </c>
      <c r="I2491" s="2">
        <f>100/111</f>
        <v>0.90090090090090091</v>
      </c>
      <c r="J2491" s="6">
        <v>11115</v>
      </c>
      <c r="K2491" s="7">
        <v>5.7849752586594692</v>
      </c>
      <c r="L2491" s="7">
        <v>5.0022492127755287</v>
      </c>
      <c r="M2491">
        <v>7.9</v>
      </c>
      <c r="O2491" s="7"/>
    </row>
    <row r="2492" spans="1:15" x14ac:dyDescent="0.25">
      <c r="A2492" t="s">
        <v>508</v>
      </c>
      <c r="B2492" s="1" t="s">
        <v>412</v>
      </c>
      <c r="C2492" s="1">
        <v>2017</v>
      </c>
      <c r="D2492" s="1">
        <v>2</v>
      </c>
      <c r="E2492" s="1">
        <v>2</v>
      </c>
      <c r="F2492" s="1">
        <v>2</v>
      </c>
      <c r="G2492" s="1">
        <v>0</v>
      </c>
      <c r="H2492" s="5">
        <v>1.1000000000000001</v>
      </c>
      <c r="I2492" s="2">
        <f>100/84</f>
        <v>1.1904761904761905</v>
      </c>
      <c r="J2492">
        <v>11228</v>
      </c>
      <c r="K2492">
        <v>5.7849752586594692</v>
      </c>
      <c r="L2492">
        <v>5.0022492127755287</v>
      </c>
      <c r="M2492">
        <v>7.8</v>
      </c>
    </row>
    <row r="2493" spans="1:15" x14ac:dyDescent="0.25">
      <c r="A2493" s="8" t="s">
        <v>508</v>
      </c>
      <c r="B2493" s="1" t="s">
        <v>412</v>
      </c>
      <c r="C2493" s="1">
        <v>2018</v>
      </c>
      <c r="D2493" s="1">
        <v>2</v>
      </c>
      <c r="E2493" s="1">
        <v>2</v>
      </c>
      <c r="F2493" s="1">
        <v>2</v>
      </c>
      <c r="G2493" s="1">
        <v>0</v>
      </c>
      <c r="H2493" s="5">
        <v>0.98</v>
      </c>
      <c r="I2493" s="2">
        <f>100/99</f>
        <v>1.0101010101010102</v>
      </c>
      <c r="J2493" s="3">
        <v>11190</v>
      </c>
      <c r="K2493">
        <v>5.7849752586594692</v>
      </c>
      <c r="L2493">
        <v>5.0022492127755287</v>
      </c>
      <c r="M2493">
        <v>7.8</v>
      </c>
    </row>
    <row r="2494" spans="1:15" x14ac:dyDescent="0.25">
      <c r="A2494" s="8" t="s">
        <v>509</v>
      </c>
      <c r="B2494" s="1" t="s">
        <v>412</v>
      </c>
      <c r="C2494" s="1">
        <v>2014</v>
      </c>
      <c r="D2494" s="1">
        <v>3</v>
      </c>
      <c r="E2494" s="1">
        <v>4</v>
      </c>
      <c r="F2494" s="1">
        <v>3.5</v>
      </c>
      <c r="G2494" s="1">
        <v>1</v>
      </c>
      <c r="H2494" s="5">
        <v>2.17</v>
      </c>
      <c r="I2494" s="2">
        <f>1/1.2</f>
        <v>0.83333333333333337</v>
      </c>
      <c r="J2494" s="3">
        <v>3389</v>
      </c>
      <c r="K2494">
        <v>5.4485249849488255</v>
      </c>
      <c r="L2494">
        <v>1.6857314870559903</v>
      </c>
      <c r="M2494">
        <v>0.3</v>
      </c>
    </row>
    <row r="2495" spans="1:15" x14ac:dyDescent="0.25">
      <c r="A2495" s="8" t="s">
        <v>509</v>
      </c>
      <c r="B2495" s="1" t="s">
        <v>412</v>
      </c>
      <c r="C2495" s="1">
        <v>2015</v>
      </c>
      <c r="D2495" s="1">
        <v>3</v>
      </c>
      <c r="E2495" s="1">
        <v>4</v>
      </c>
      <c r="F2495" s="1">
        <v>3.5</v>
      </c>
      <c r="G2495" s="1">
        <v>1</v>
      </c>
      <c r="H2495" s="5">
        <v>0.98</v>
      </c>
      <c r="I2495" s="2">
        <f>1/0.97</f>
        <v>1.0309278350515465</v>
      </c>
      <c r="J2495" s="3">
        <v>3357</v>
      </c>
      <c r="K2495">
        <v>5.4485249849488255</v>
      </c>
      <c r="L2495">
        <v>1.6857314870559903</v>
      </c>
      <c r="M2495">
        <v>0.3</v>
      </c>
    </row>
    <row r="2496" spans="1:15" x14ac:dyDescent="0.25">
      <c r="A2496" t="s">
        <v>509</v>
      </c>
      <c r="B2496" s="1" t="s">
        <v>412</v>
      </c>
      <c r="C2496" s="1">
        <v>2016</v>
      </c>
      <c r="D2496" s="1">
        <v>3</v>
      </c>
      <c r="E2496" s="1">
        <v>4</v>
      </c>
      <c r="F2496" s="1">
        <v>3.5</v>
      </c>
      <c r="G2496" s="1">
        <v>1</v>
      </c>
      <c r="H2496" s="5">
        <v>1.06</v>
      </c>
      <c r="I2496" s="2">
        <f>1/1.56</f>
        <v>0.64102564102564097</v>
      </c>
      <c r="J2496" s="6">
        <v>3322</v>
      </c>
      <c r="K2496" s="7">
        <v>5.4485249849488255</v>
      </c>
      <c r="L2496" s="7">
        <v>1.6857314870559903</v>
      </c>
      <c r="M2496">
        <v>0.3</v>
      </c>
      <c r="O2496" s="7"/>
    </row>
    <row r="2497" spans="1:15" x14ac:dyDescent="0.25">
      <c r="A2497" t="s">
        <v>509</v>
      </c>
      <c r="B2497" s="1" t="s">
        <v>412</v>
      </c>
      <c r="C2497" s="1">
        <v>2017</v>
      </c>
      <c r="D2497" s="1">
        <v>3</v>
      </c>
      <c r="E2497" s="1">
        <v>4</v>
      </c>
      <c r="F2497" s="1">
        <v>3.5</v>
      </c>
      <c r="G2497" s="1">
        <v>1</v>
      </c>
      <c r="H2497" s="5">
        <v>1.1200000000000001</v>
      </c>
      <c r="I2497" s="2">
        <f>1/1.47</f>
        <v>0.68027210884353739</v>
      </c>
      <c r="J2497">
        <v>3205</v>
      </c>
      <c r="K2497">
        <v>5.4485249849488255</v>
      </c>
      <c r="L2497">
        <v>1.6857314870559903</v>
      </c>
      <c r="M2497">
        <v>0.3</v>
      </c>
    </row>
    <row r="2498" spans="1:15" x14ac:dyDescent="0.25">
      <c r="A2498" s="8" t="s">
        <v>509</v>
      </c>
      <c r="B2498" s="1" t="s">
        <v>412</v>
      </c>
      <c r="C2498" s="1">
        <v>2018</v>
      </c>
      <c r="D2498" s="1">
        <v>3</v>
      </c>
      <c r="E2498" s="1">
        <v>4</v>
      </c>
      <c r="F2498" s="1">
        <v>3.5</v>
      </c>
      <c r="G2498" s="1">
        <v>1</v>
      </c>
      <c r="H2498" s="5">
        <v>1.01</v>
      </c>
      <c r="I2498" s="2">
        <f>1/1.35</f>
        <v>0.7407407407407407</v>
      </c>
      <c r="J2498" s="3">
        <v>3077</v>
      </c>
      <c r="K2498">
        <v>5.4485249849488255</v>
      </c>
      <c r="L2498">
        <v>1.6857314870559903</v>
      </c>
      <c r="M2498">
        <v>0.2</v>
      </c>
    </row>
    <row r="2499" spans="1:15" x14ac:dyDescent="0.25">
      <c r="A2499" s="8" t="s">
        <v>510</v>
      </c>
      <c r="B2499" s="1" t="s">
        <v>412</v>
      </c>
      <c r="C2499" s="1">
        <v>2014</v>
      </c>
      <c r="D2499" s="1">
        <v>4</v>
      </c>
      <c r="E2499" s="1">
        <v>4</v>
      </c>
      <c r="F2499" s="1">
        <v>4</v>
      </c>
      <c r="G2499" s="1">
        <v>0</v>
      </c>
      <c r="H2499" s="5">
        <v>0.73</v>
      </c>
      <c r="I2499" s="2">
        <f>1/2.45</f>
        <v>0.4081632653061224</v>
      </c>
      <c r="J2499" s="3">
        <v>256</v>
      </c>
      <c r="K2499">
        <v>5.9760956175298805</v>
      </c>
      <c r="L2499">
        <v>2.788844621513944</v>
      </c>
      <c r="M2499">
        <v>0.2</v>
      </c>
    </row>
    <row r="2500" spans="1:15" x14ac:dyDescent="0.25">
      <c r="A2500" s="8" t="s">
        <v>510</v>
      </c>
      <c r="B2500" s="1" t="s">
        <v>412</v>
      </c>
      <c r="C2500" s="1">
        <v>2015</v>
      </c>
      <c r="D2500" s="1">
        <v>4</v>
      </c>
      <c r="E2500" s="1">
        <v>4</v>
      </c>
      <c r="F2500" s="1">
        <v>4</v>
      </c>
      <c r="G2500" s="1">
        <v>0</v>
      </c>
      <c r="H2500" s="5">
        <v>0.81</v>
      </c>
      <c r="I2500" s="2">
        <f>1/1.44</f>
        <v>0.69444444444444442</v>
      </c>
      <c r="J2500" s="3">
        <v>259</v>
      </c>
      <c r="K2500">
        <v>5.9760956175298805</v>
      </c>
      <c r="L2500">
        <v>2.788844621513944</v>
      </c>
      <c r="M2500">
        <v>0.2</v>
      </c>
    </row>
    <row r="2501" spans="1:15" x14ac:dyDescent="0.25">
      <c r="A2501" t="s">
        <v>510</v>
      </c>
      <c r="B2501" s="1" t="s">
        <v>412</v>
      </c>
      <c r="C2501" s="1">
        <v>2016</v>
      </c>
      <c r="D2501" s="1">
        <v>4</v>
      </c>
      <c r="E2501" s="1">
        <v>4</v>
      </c>
      <c r="F2501" s="1">
        <v>4</v>
      </c>
      <c r="G2501" s="1">
        <v>0</v>
      </c>
      <c r="H2501" s="5">
        <v>0.65</v>
      </c>
      <c r="I2501" s="2">
        <f>1/2.91</f>
        <v>0.3436426116838488</v>
      </c>
      <c r="J2501" s="6">
        <v>251</v>
      </c>
      <c r="K2501" s="7">
        <v>5.9760956175298805</v>
      </c>
      <c r="L2501" s="7">
        <v>2.788844621513944</v>
      </c>
      <c r="M2501">
        <v>0.2</v>
      </c>
      <c r="O2501" s="7"/>
    </row>
    <row r="2502" spans="1:15" x14ac:dyDescent="0.25">
      <c r="A2502" t="s">
        <v>510</v>
      </c>
      <c r="B2502" s="1" t="s">
        <v>412</v>
      </c>
      <c r="C2502" s="1">
        <v>2017</v>
      </c>
      <c r="D2502" s="1">
        <v>4</v>
      </c>
      <c r="E2502" s="1">
        <v>4</v>
      </c>
      <c r="F2502" s="1">
        <v>4</v>
      </c>
      <c r="G2502" s="1">
        <v>0</v>
      </c>
      <c r="H2502" s="5">
        <v>0.71</v>
      </c>
      <c r="I2502" s="2">
        <f>1/0.84</f>
        <v>1.1904761904761905</v>
      </c>
      <c r="J2502">
        <v>253</v>
      </c>
      <c r="K2502">
        <v>5.9760956175298805</v>
      </c>
      <c r="L2502">
        <v>2.788844621513944</v>
      </c>
      <c r="M2502">
        <v>0.2</v>
      </c>
    </row>
    <row r="2503" spans="1:15" x14ac:dyDescent="0.25">
      <c r="A2503" s="8" t="s">
        <v>510</v>
      </c>
      <c r="B2503" s="1" t="s">
        <v>412</v>
      </c>
      <c r="C2503" s="1">
        <v>2018</v>
      </c>
      <c r="D2503" s="1">
        <v>4</v>
      </c>
      <c r="E2503" s="1">
        <v>4</v>
      </c>
      <c r="F2503" s="1">
        <v>4</v>
      </c>
      <c r="G2503" s="1">
        <v>0</v>
      </c>
      <c r="H2503" s="5">
        <v>0.49</v>
      </c>
      <c r="I2503" s="2">
        <f>1/3.05</f>
        <v>0.32786885245901642</v>
      </c>
      <c r="J2503" s="3">
        <v>247</v>
      </c>
      <c r="K2503">
        <v>5.9760956175298805</v>
      </c>
      <c r="L2503">
        <v>2.788844621513944</v>
      </c>
      <c r="M2503">
        <v>0.2</v>
      </c>
    </row>
    <row r="2504" spans="1:15" x14ac:dyDescent="0.25">
      <c r="A2504" s="8" t="s">
        <v>511</v>
      </c>
      <c r="B2504" s="1" t="s">
        <v>412</v>
      </c>
      <c r="C2504" s="1">
        <v>2014</v>
      </c>
      <c r="D2504" s="1">
        <v>1</v>
      </c>
      <c r="E2504" s="1">
        <v>1</v>
      </c>
      <c r="F2504" s="1">
        <v>1</v>
      </c>
      <c r="G2504" s="1">
        <v>0</v>
      </c>
      <c r="H2504" s="5">
        <v>0.7</v>
      </c>
      <c r="I2504" s="2">
        <f>1/1.11</f>
        <v>0.9009009009009008</v>
      </c>
      <c r="J2504" s="3">
        <v>1707</v>
      </c>
      <c r="K2504">
        <v>2.0158827122785583</v>
      </c>
      <c r="L2504">
        <v>8.7354917532070857</v>
      </c>
      <c r="M2504">
        <v>1598.8</v>
      </c>
    </row>
    <row r="2505" spans="1:15" x14ac:dyDescent="0.25">
      <c r="A2505" s="8" t="s">
        <v>511</v>
      </c>
      <c r="B2505" s="1" t="s">
        <v>412</v>
      </c>
      <c r="C2505" s="1">
        <v>2015</v>
      </c>
      <c r="D2505" s="1">
        <v>1</v>
      </c>
      <c r="E2505" s="1">
        <v>1</v>
      </c>
      <c r="F2505" s="1">
        <v>1</v>
      </c>
      <c r="G2505" s="1">
        <v>0</v>
      </c>
      <c r="H2505" s="5">
        <v>0.53</v>
      </c>
      <c r="I2505" s="2">
        <f>1/1.01</f>
        <v>0.99009900990099009</v>
      </c>
      <c r="J2505" s="3">
        <v>1709</v>
      </c>
      <c r="K2505">
        <v>2.0158827122785583</v>
      </c>
      <c r="L2505">
        <v>8.7354917532070857</v>
      </c>
      <c r="M2505">
        <v>1600.6</v>
      </c>
    </row>
    <row r="2506" spans="1:15" x14ac:dyDescent="0.25">
      <c r="A2506" t="s">
        <v>511</v>
      </c>
      <c r="B2506" s="1" t="s">
        <v>412</v>
      </c>
      <c r="C2506" s="1">
        <v>2016</v>
      </c>
      <c r="D2506" s="1">
        <v>1</v>
      </c>
      <c r="E2506" s="1">
        <v>1</v>
      </c>
      <c r="F2506" s="1">
        <v>1</v>
      </c>
      <c r="G2506" s="1">
        <v>0</v>
      </c>
      <c r="H2506" s="5">
        <v>0.7</v>
      </c>
      <c r="I2506" s="2">
        <f>1/0.95</f>
        <v>1.0526315789473684</v>
      </c>
      <c r="J2506" s="6">
        <v>1637</v>
      </c>
      <c r="K2506" s="7">
        <v>2.0158827122785583</v>
      </c>
      <c r="L2506" s="7">
        <v>8.7354917532070857</v>
      </c>
      <c r="M2506">
        <v>1599.7</v>
      </c>
      <c r="O2506" s="7"/>
    </row>
    <row r="2507" spans="1:15" x14ac:dyDescent="0.25">
      <c r="A2507" t="s">
        <v>511</v>
      </c>
      <c r="B2507" s="1" t="s">
        <v>412</v>
      </c>
      <c r="C2507" s="1">
        <v>2017</v>
      </c>
      <c r="D2507" s="1">
        <v>1</v>
      </c>
      <c r="E2507" s="1">
        <v>1</v>
      </c>
      <c r="F2507" s="1">
        <v>1</v>
      </c>
      <c r="G2507" s="1">
        <v>0</v>
      </c>
      <c r="H2507" s="5">
        <v>1.06</v>
      </c>
      <c r="I2507" s="2">
        <f>1/1.03</f>
        <v>0.970873786407767</v>
      </c>
      <c r="J2507">
        <v>1717</v>
      </c>
      <c r="K2507">
        <v>2.0158827122785583</v>
      </c>
      <c r="L2507">
        <v>8.7354917532070857</v>
      </c>
      <c r="M2507">
        <v>1608.1</v>
      </c>
    </row>
    <row r="2508" spans="1:15" x14ac:dyDescent="0.25">
      <c r="A2508" s="8" t="s">
        <v>511</v>
      </c>
      <c r="B2508" s="1" t="s">
        <v>412</v>
      </c>
      <c r="C2508" s="1">
        <v>2018</v>
      </c>
      <c r="D2508" s="1">
        <v>1</v>
      </c>
      <c r="E2508" s="1">
        <v>1</v>
      </c>
      <c r="F2508" s="1">
        <v>1</v>
      </c>
      <c r="G2508" s="1">
        <v>0</v>
      </c>
      <c r="H2508" s="5">
        <v>0.72</v>
      </c>
      <c r="I2508" s="2">
        <f>1/0.98</f>
        <v>1.0204081632653061</v>
      </c>
      <c r="J2508" s="3">
        <v>1721</v>
      </c>
      <c r="K2508">
        <v>2.0158827122785583</v>
      </c>
      <c r="L2508">
        <v>8.7354917532070857</v>
      </c>
      <c r="M2508">
        <v>1611.9</v>
      </c>
    </row>
    <row r="2509" spans="1:15" x14ac:dyDescent="0.25">
      <c r="A2509" s="8" t="s">
        <v>512</v>
      </c>
      <c r="B2509" s="1" t="s">
        <v>412</v>
      </c>
      <c r="C2509" s="1">
        <v>2014</v>
      </c>
      <c r="D2509" s="1">
        <v>4</v>
      </c>
      <c r="E2509" s="1">
        <v>4</v>
      </c>
      <c r="F2509" s="1">
        <v>4</v>
      </c>
      <c r="G2509" s="1">
        <v>0</v>
      </c>
      <c r="H2509" s="5">
        <v>1.08</v>
      </c>
      <c r="I2509" s="2">
        <f>1/1.23</f>
        <v>0.81300813008130079</v>
      </c>
      <c r="J2509" s="3">
        <v>762</v>
      </c>
      <c r="K2509">
        <v>6.3311688311688306</v>
      </c>
      <c r="L2509">
        <v>3.2467532467532463</v>
      </c>
      <c r="M2509">
        <v>0.1</v>
      </c>
    </row>
    <row r="2510" spans="1:15" x14ac:dyDescent="0.25">
      <c r="A2510" s="8" t="s">
        <v>512</v>
      </c>
      <c r="B2510" s="1" t="s">
        <v>412</v>
      </c>
      <c r="C2510" s="1">
        <v>2015</v>
      </c>
      <c r="D2510" s="1">
        <v>4</v>
      </c>
      <c r="E2510" s="1">
        <v>4</v>
      </c>
      <c r="F2510" s="1">
        <v>4</v>
      </c>
      <c r="G2510" s="1">
        <v>0</v>
      </c>
      <c r="H2510" s="5">
        <v>0.74</v>
      </c>
      <c r="I2510" s="2">
        <f>1/0.94</f>
        <v>1.0638297872340425</v>
      </c>
      <c r="J2510" s="3">
        <v>696</v>
      </c>
      <c r="K2510">
        <v>6.3311688311688306</v>
      </c>
      <c r="L2510">
        <v>3.2467532467532463</v>
      </c>
      <c r="M2510">
        <v>0.1</v>
      </c>
    </row>
    <row r="2511" spans="1:15" x14ac:dyDescent="0.25">
      <c r="A2511" t="s">
        <v>512</v>
      </c>
      <c r="B2511" s="1" t="s">
        <v>412</v>
      </c>
      <c r="C2511" s="1">
        <v>2016</v>
      </c>
      <c r="D2511" s="1">
        <v>4</v>
      </c>
      <c r="E2511" s="1">
        <v>4</v>
      </c>
      <c r="F2511" s="1">
        <v>4</v>
      </c>
      <c r="G2511" s="1">
        <v>0</v>
      </c>
      <c r="H2511" s="5">
        <v>1.03</v>
      </c>
      <c r="I2511" s="2">
        <f>1/1.47</f>
        <v>0.68027210884353739</v>
      </c>
      <c r="J2511" s="3">
        <v>616</v>
      </c>
      <c r="K2511">
        <v>6.3311688311688306</v>
      </c>
      <c r="L2511">
        <v>3.2467532467532463</v>
      </c>
      <c r="M2511">
        <v>0.1</v>
      </c>
      <c r="O2511" s="7"/>
    </row>
    <row r="2512" spans="1:15" x14ac:dyDescent="0.25">
      <c r="A2512" t="s">
        <v>512</v>
      </c>
      <c r="B2512" s="1" t="s">
        <v>412</v>
      </c>
      <c r="C2512" s="1">
        <v>2017</v>
      </c>
      <c r="D2512" s="1">
        <v>4</v>
      </c>
      <c r="E2512" s="1">
        <v>4</v>
      </c>
      <c r="F2512" s="1">
        <v>4</v>
      </c>
      <c r="G2512" s="1">
        <v>0</v>
      </c>
      <c r="H2512" s="5">
        <v>1.02</v>
      </c>
      <c r="I2512" s="2">
        <f>1/1.04</f>
        <v>0.96153846153846145</v>
      </c>
      <c r="J2512">
        <v>617</v>
      </c>
      <c r="K2512">
        <v>6.3311688311688306</v>
      </c>
      <c r="L2512">
        <v>3.2467532467532463</v>
      </c>
      <c r="M2512">
        <v>0.1</v>
      </c>
    </row>
    <row r="2513" spans="1:15" x14ac:dyDescent="0.25">
      <c r="A2513" s="8" t="s">
        <v>512</v>
      </c>
      <c r="B2513" s="1" t="s">
        <v>412</v>
      </c>
      <c r="C2513" s="1">
        <v>2018</v>
      </c>
      <c r="D2513" s="1">
        <v>4</v>
      </c>
      <c r="E2513" s="1">
        <v>4</v>
      </c>
      <c r="F2513" s="1">
        <v>4</v>
      </c>
      <c r="G2513" s="1">
        <v>0</v>
      </c>
      <c r="H2513" s="5">
        <v>0.91</v>
      </c>
      <c r="I2513" s="2">
        <f>1/1.17</f>
        <v>0.85470085470085477</v>
      </c>
      <c r="J2513" s="3">
        <v>596</v>
      </c>
      <c r="K2513">
        <v>6.3311688311688306</v>
      </c>
      <c r="L2513">
        <v>3.2467532467532463</v>
      </c>
      <c r="M2513">
        <v>0.1</v>
      </c>
    </row>
    <row r="2514" spans="1:15" x14ac:dyDescent="0.25">
      <c r="A2514" s="8" t="s">
        <v>513</v>
      </c>
      <c r="B2514" s="1" t="s">
        <v>412</v>
      </c>
      <c r="C2514" s="1">
        <v>2014</v>
      </c>
      <c r="D2514" s="1">
        <v>1</v>
      </c>
      <c r="E2514" s="1">
        <v>1</v>
      </c>
      <c r="F2514" s="1">
        <v>1</v>
      </c>
      <c r="G2514" s="1">
        <v>0</v>
      </c>
      <c r="H2514" s="5">
        <v>0.46</v>
      </c>
      <c r="I2514" s="2">
        <f>1/0.9</f>
        <v>1.1111111111111112</v>
      </c>
      <c r="J2514" s="3">
        <v>25257</v>
      </c>
      <c r="K2514">
        <v>0.9</v>
      </c>
      <c r="L2514">
        <v>38.700000000000003</v>
      </c>
      <c r="M2514">
        <v>1841</v>
      </c>
    </row>
    <row r="2515" spans="1:15" x14ac:dyDescent="0.25">
      <c r="A2515" s="8" t="s">
        <v>513</v>
      </c>
      <c r="B2515" s="1" t="s">
        <v>412</v>
      </c>
      <c r="C2515" s="1">
        <v>2015</v>
      </c>
      <c r="D2515" s="1">
        <v>1</v>
      </c>
      <c r="E2515" s="1">
        <v>1</v>
      </c>
      <c r="F2515" s="1">
        <v>1</v>
      </c>
      <c r="G2515" s="1">
        <v>0</v>
      </c>
      <c r="H2515" s="5">
        <v>0.5</v>
      </c>
      <c r="I2515" s="2">
        <f>1/0.92</f>
        <v>1.0869565217391304</v>
      </c>
      <c r="J2515" s="3">
        <v>26096</v>
      </c>
      <c r="K2515">
        <v>0.9</v>
      </c>
      <c r="L2515">
        <v>38.700000000000003</v>
      </c>
      <c r="M2515">
        <v>1902.1</v>
      </c>
    </row>
    <row r="2516" spans="1:15" x14ac:dyDescent="0.25">
      <c r="A2516" t="s">
        <v>513</v>
      </c>
      <c r="B2516" s="1" t="s">
        <v>412</v>
      </c>
      <c r="C2516" s="1">
        <v>2016</v>
      </c>
      <c r="D2516" s="1">
        <v>1</v>
      </c>
      <c r="E2516" s="1">
        <v>1</v>
      </c>
      <c r="F2516" s="1">
        <v>1</v>
      </c>
      <c r="G2516" s="1">
        <v>0</v>
      </c>
      <c r="H2516" s="5">
        <v>0.46</v>
      </c>
      <c r="I2516" s="2">
        <f>1/0.9</f>
        <v>1.1111111111111112</v>
      </c>
      <c r="J2516" s="3">
        <v>26879</v>
      </c>
      <c r="K2516" s="11">
        <v>0.9</v>
      </c>
      <c r="L2516" s="11">
        <v>38.700000000000003</v>
      </c>
      <c r="M2516">
        <v>1959.2</v>
      </c>
      <c r="O2516" s="7"/>
    </row>
    <row r="2517" spans="1:15" x14ac:dyDescent="0.25">
      <c r="A2517" t="s">
        <v>513</v>
      </c>
      <c r="B2517" s="1" t="s">
        <v>412</v>
      </c>
      <c r="C2517" s="1">
        <v>2017</v>
      </c>
      <c r="D2517" s="1">
        <v>1</v>
      </c>
      <c r="E2517" s="1">
        <v>1</v>
      </c>
      <c r="F2517" s="1">
        <v>1</v>
      </c>
      <c r="G2517" s="1">
        <v>0</v>
      </c>
      <c r="H2517" s="5">
        <v>0.6</v>
      </c>
      <c r="I2517" s="5">
        <v>8</v>
      </c>
      <c r="J2517">
        <v>27273</v>
      </c>
      <c r="K2517">
        <v>0.9</v>
      </c>
      <c r="L2517">
        <v>38.700000000000003</v>
      </c>
      <c r="M2517">
        <v>1987.9</v>
      </c>
    </row>
    <row r="2518" spans="1:15" x14ac:dyDescent="0.25">
      <c r="A2518" s="8" t="s">
        <v>513</v>
      </c>
      <c r="B2518" s="1" t="s">
        <v>412</v>
      </c>
      <c r="C2518" s="1">
        <v>2018</v>
      </c>
      <c r="D2518" s="1">
        <v>1</v>
      </c>
      <c r="E2518" s="1">
        <v>1</v>
      </c>
      <c r="F2518" s="1">
        <v>1</v>
      </c>
      <c r="G2518" s="1">
        <v>0</v>
      </c>
      <c r="H2518" s="5">
        <v>0.72</v>
      </c>
      <c r="I2518" s="2">
        <f>1/0.96</f>
        <v>1.0416666666666667</v>
      </c>
      <c r="J2518" s="3">
        <v>27762</v>
      </c>
      <c r="K2518">
        <v>0.9</v>
      </c>
      <c r="L2518">
        <v>38.700000000000003</v>
      </c>
      <c r="M2518">
        <v>2023.6</v>
      </c>
    </row>
    <row r="2519" spans="1:15" x14ac:dyDescent="0.25">
      <c r="A2519" s="8" t="s">
        <v>514</v>
      </c>
      <c r="B2519" s="1" t="s">
        <v>412</v>
      </c>
      <c r="C2519" s="1">
        <v>2014</v>
      </c>
      <c r="D2519" s="1">
        <v>3</v>
      </c>
      <c r="E2519" s="1">
        <v>3</v>
      </c>
      <c r="F2519" s="1">
        <v>3</v>
      </c>
      <c r="G2519" s="1">
        <v>0</v>
      </c>
      <c r="H2519" s="5">
        <v>1.03</v>
      </c>
      <c r="I2519" s="2">
        <f>1/1.91</f>
        <v>0.52356020942408377</v>
      </c>
      <c r="J2519" s="3">
        <v>1187</v>
      </c>
      <c r="K2519">
        <v>11.652173913043478</v>
      </c>
      <c r="L2519">
        <v>1.652173913043478</v>
      </c>
      <c r="M2519">
        <v>0.9</v>
      </c>
    </row>
    <row r="2520" spans="1:15" x14ac:dyDescent="0.25">
      <c r="A2520" s="8" t="s">
        <v>514</v>
      </c>
      <c r="B2520" s="1" t="s">
        <v>412</v>
      </c>
      <c r="C2520" s="1">
        <v>2015</v>
      </c>
      <c r="D2520" s="1">
        <v>3</v>
      </c>
      <c r="E2520" s="1">
        <v>3</v>
      </c>
      <c r="F2520" s="1">
        <v>3</v>
      </c>
      <c r="G2520" s="1">
        <v>0</v>
      </c>
      <c r="H2520" s="5">
        <v>0.31</v>
      </c>
      <c r="I2520" s="2">
        <f>1/1.47</f>
        <v>0.68027210884353739</v>
      </c>
      <c r="J2520" s="3">
        <v>1202</v>
      </c>
      <c r="K2520">
        <v>11.652173913043478</v>
      </c>
      <c r="L2520">
        <v>1.652173913043478</v>
      </c>
      <c r="M2520">
        <v>0.9</v>
      </c>
    </row>
    <row r="2521" spans="1:15" x14ac:dyDescent="0.25">
      <c r="A2521" t="s">
        <v>514</v>
      </c>
      <c r="B2521" s="1" t="s">
        <v>412</v>
      </c>
      <c r="C2521" s="1">
        <v>2016</v>
      </c>
      <c r="D2521" s="1">
        <v>3</v>
      </c>
      <c r="E2521" s="1">
        <v>3</v>
      </c>
      <c r="F2521" s="1">
        <v>3</v>
      </c>
      <c r="G2521" s="1">
        <v>0</v>
      </c>
      <c r="H2521" s="5">
        <v>1.6</v>
      </c>
      <c r="I2521" s="2">
        <f>1/1.72</f>
        <v>0.58139534883720934</v>
      </c>
      <c r="J2521" s="6">
        <v>1150</v>
      </c>
      <c r="K2521" s="7">
        <v>11.652173913043478</v>
      </c>
      <c r="L2521" s="7">
        <v>1.652173913043478</v>
      </c>
      <c r="M2521">
        <v>0.9</v>
      </c>
      <c r="O2521" s="7"/>
    </row>
    <row r="2522" spans="1:15" x14ac:dyDescent="0.25">
      <c r="A2522" t="s">
        <v>514</v>
      </c>
      <c r="B2522" s="1" t="s">
        <v>412</v>
      </c>
      <c r="C2522" s="1">
        <v>2017</v>
      </c>
      <c r="D2522" s="1">
        <v>3</v>
      </c>
      <c r="E2522" s="1">
        <v>3</v>
      </c>
      <c r="F2522" s="1">
        <v>3</v>
      </c>
      <c r="G2522" s="1">
        <v>0</v>
      </c>
      <c r="H2522" s="5">
        <v>2.23</v>
      </c>
      <c r="I2522" s="2">
        <f>1/1.6</f>
        <v>0.625</v>
      </c>
      <c r="J2522">
        <v>1169</v>
      </c>
      <c r="K2522">
        <v>11.652173913043478</v>
      </c>
      <c r="L2522">
        <v>1.652173913043478</v>
      </c>
      <c r="M2522">
        <v>0.9</v>
      </c>
    </row>
    <row r="2523" spans="1:15" x14ac:dyDescent="0.25">
      <c r="A2523" s="8" t="s">
        <v>514</v>
      </c>
      <c r="B2523" s="1" t="s">
        <v>412</v>
      </c>
      <c r="C2523" s="1">
        <v>2018</v>
      </c>
      <c r="D2523" s="1">
        <v>3</v>
      </c>
      <c r="E2523" s="1">
        <v>3</v>
      </c>
      <c r="F2523" s="1">
        <v>3</v>
      </c>
      <c r="G2523" s="1">
        <v>0</v>
      </c>
      <c r="H2523" s="5">
        <v>2.9</v>
      </c>
      <c r="I2523" s="2">
        <f>1/1.47</f>
        <v>0.68027210884353739</v>
      </c>
      <c r="J2523" s="3">
        <v>1152</v>
      </c>
      <c r="K2523">
        <v>11.652173913043478</v>
      </c>
      <c r="L2523">
        <v>1.652173913043478</v>
      </c>
      <c r="M2523">
        <v>0.9</v>
      </c>
    </row>
    <row r="2524" spans="1:15" x14ac:dyDescent="0.25">
      <c r="A2524" s="8" t="s">
        <v>515</v>
      </c>
      <c r="B2524" s="1" t="s">
        <v>412</v>
      </c>
      <c r="C2524" s="1">
        <v>2014</v>
      </c>
      <c r="D2524" s="1">
        <v>3</v>
      </c>
      <c r="E2524" s="1">
        <v>3</v>
      </c>
      <c r="F2524" s="1">
        <v>3</v>
      </c>
      <c r="G2524" s="1">
        <v>0</v>
      </c>
      <c r="H2524" s="5">
        <v>1.17</v>
      </c>
      <c r="I2524" s="2">
        <f>1/1.25</f>
        <v>0.8</v>
      </c>
      <c r="J2524" s="3">
        <v>5151</v>
      </c>
      <c r="K2524">
        <v>3.052382827884994</v>
      </c>
      <c r="L2524">
        <v>5.5730602599448602</v>
      </c>
      <c r="M2524">
        <v>1.1000000000000001</v>
      </c>
    </row>
    <row r="2525" spans="1:15" x14ac:dyDescent="0.25">
      <c r="A2525" s="8" t="s">
        <v>515</v>
      </c>
      <c r="B2525" s="1" t="s">
        <v>412</v>
      </c>
      <c r="C2525" s="1">
        <v>2015</v>
      </c>
      <c r="D2525" s="1">
        <v>3</v>
      </c>
      <c r="E2525" s="1">
        <v>3</v>
      </c>
      <c r="F2525" s="1">
        <v>3</v>
      </c>
      <c r="G2525" s="1">
        <v>0</v>
      </c>
      <c r="H2525" s="5">
        <v>0.48</v>
      </c>
      <c r="I2525" s="2">
        <f>1/1.31</f>
        <v>0.76335877862595414</v>
      </c>
      <c r="J2525" s="3">
        <v>5130</v>
      </c>
      <c r="K2525">
        <v>3.052382827884994</v>
      </c>
      <c r="L2525">
        <v>5.5730602599448602</v>
      </c>
      <c r="M2525">
        <v>1.1000000000000001</v>
      </c>
    </row>
    <row r="2526" spans="1:15" x14ac:dyDescent="0.25">
      <c r="A2526" t="s">
        <v>515</v>
      </c>
      <c r="B2526" s="1" t="s">
        <v>412</v>
      </c>
      <c r="C2526" s="1">
        <v>2016</v>
      </c>
      <c r="D2526" s="1">
        <v>3</v>
      </c>
      <c r="E2526" s="1">
        <v>3</v>
      </c>
      <c r="F2526" s="1">
        <v>3</v>
      </c>
      <c r="G2526" s="1">
        <v>0</v>
      </c>
      <c r="H2526" s="5">
        <v>0.49</v>
      </c>
      <c r="I2526" s="2">
        <f>1/6.9</f>
        <v>0.14492753623188406</v>
      </c>
      <c r="J2526" s="6">
        <v>5078</v>
      </c>
      <c r="K2526" s="7">
        <v>3.052382827884994</v>
      </c>
      <c r="L2526" s="7">
        <v>5.5730602599448602</v>
      </c>
      <c r="M2526">
        <v>1</v>
      </c>
      <c r="O2526" s="7"/>
    </row>
    <row r="2527" spans="1:15" x14ac:dyDescent="0.25">
      <c r="A2527" t="s">
        <v>515</v>
      </c>
      <c r="B2527" s="1" t="s">
        <v>412</v>
      </c>
      <c r="C2527" s="1">
        <v>2017</v>
      </c>
      <c r="D2527" s="1">
        <v>3</v>
      </c>
      <c r="E2527" s="1">
        <v>3</v>
      </c>
      <c r="F2527" s="1">
        <v>3</v>
      </c>
      <c r="G2527" s="1">
        <v>0</v>
      </c>
      <c r="H2527" s="5">
        <v>0.68</v>
      </c>
      <c r="I2527" s="2">
        <f>1/1.29</f>
        <v>0.77519379844961234</v>
      </c>
      <c r="J2527">
        <v>5167</v>
      </c>
      <c r="K2527">
        <v>3.052382827884994</v>
      </c>
      <c r="L2527">
        <v>5.5730602599448602</v>
      </c>
      <c r="M2527">
        <v>1.1000000000000001</v>
      </c>
    </row>
    <row r="2528" spans="1:15" x14ac:dyDescent="0.25">
      <c r="A2528" s="8" t="s">
        <v>515</v>
      </c>
      <c r="B2528" s="1" t="s">
        <v>412</v>
      </c>
      <c r="C2528" s="1">
        <v>2018</v>
      </c>
      <c r="D2528" s="1">
        <v>3</v>
      </c>
      <c r="E2528" s="1">
        <v>3</v>
      </c>
      <c r="F2528" s="1">
        <v>3</v>
      </c>
      <c r="G2528" s="1">
        <v>0</v>
      </c>
      <c r="H2528" s="5">
        <v>0.48</v>
      </c>
      <c r="I2528" s="2">
        <f>100/147</f>
        <v>0.68027210884353739</v>
      </c>
      <c r="J2528" s="3">
        <v>5249</v>
      </c>
      <c r="K2528">
        <v>3.052382827884994</v>
      </c>
      <c r="L2528">
        <v>5.5730602599448602</v>
      </c>
      <c r="M2528">
        <v>1.1000000000000001</v>
      </c>
    </row>
    <row r="2529" spans="1:15" x14ac:dyDescent="0.25">
      <c r="A2529" s="8" t="s">
        <v>516</v>
      </c>
      <c r="B2529" s="1" t="s">
        <v>412</v>
      </c>
      <c r="C2529" s="1">
        <v>2014</v>
      </c>
      <c r="D2529" s="1">
        <v>4</v>
      </c>
      <c r="E2529" s="1">
        <v>5</v>
      </c>
      <c r="F2529" s="1">
        <v>4.5</v>
      </c>
      <c r="G2529" s="1">
        <v>1</v>
      </c>
      <c r="H2529" s="5">
        <v>1.07</v>
      </c>
      <c r="I2529" s="2">
        <f>1/0.91</f>
        <v>1.0989010989010988</v>
      </c>
      <c r="J2529" s="3">
        <v>15648</v>
      </c>
      <c r="K2529">
        <v>16.640165917732457</v>
      </c>
      <c r="L2529">
        <v>14.46940891807812</v>
      </c>
      <c r="M2529">
        <v>0.8</v>
      </c>
    </row>
    <row r="2530" spans="1:15" x14ac:dyDescent="0.25">
      <c r="A2530" s="8" t="s">
        <v>516</v>
      </c>
      <c r="B2530" s="1" t="s">
        <v>412</v>
      </c>
      <c r="C2530" s="1">
        <v>2015</v>
      </c>
      <c r="D2530" s="1">
        <v>4</v>
      </c>
      <c r="E2530" s="1">
        <v>5</v>
      </c>
      <c r="F2530" s="1">
        <v>4.5</v>
      </c>
      <c r="G2530" s="1">
        <v>1</v>
      </c>
      <c r="H2530" s="5">
        <v>0.99</v>
      </c>
      <c r="I2530" s="2">
        <f>1/0.89</f>
        <v>1.1235955056179776</v>
      </c>
      <c r="J2530" s="3">
        <v>15387</v>
      </c>
      <c r="K2530">
        <v>16.640165917732457</v>
      </c>
      <c r="L2530">
        <v>14.46940891807812</v>
      </c>
      <c r="M2530">
        <v>0.8</v>
      </c>
    </row>
    <row r="2531" spans="1:15" x14ac:dyDescent="0.25">
      <c r="A2531" t="s">
        <v>516</v>
      </c>
      <c r="B2531" s="1" t="s">
        <v>412</v>
      </c>
      <c r="C2531" s="1">
        <v>2016</v>
      </c>
      <c r="D2531" s="1">
        <v>4</v>
      </c>
      <c r="E2531" s="1">
        <v>5</v>
      </c>
      <c r="F2531" s="1">
        <v>4.5</v>
      </c>
      <c r="G2531" s="1">
        <v>1</v>
      </c>
      <c r="H2531" s="5">
        <v>0.37</v>
      </c>
      <c r="I2531" s="2">
        <f>1/1.16</f>
        <v>0.86206896551724144</v>
      </c>
      <c r="J2531" s="6">
        <v>14465</v>
      </c>
      <c r="K2531" s="7">
        <v>16.640165917732457</v>
      </c>
      <c r="L2531" s="7">
        <v>14.46940891807812</v>
      </c>
      <c r="M2531">
        <v>0.8</v>
      </c>
      <c r="O2531" s="7"/>
    </row>
    <row r="2532" spans="1:15" x14ac:dyDescent="0.25">
      <c r="A2532" t="s">
        <v>516</v>
      </c>
      <c r="B2532" s="1" t="s">
        <v>412</v>
      </c>
      <c r="C2532" s="1">
        <v>2017</v>
      </c>
      <c r="D2532" s="1">
        <v>4</v>
      </c>
      <c r="E2532" s="1">
        <v>5</v>
      </c>
      <c r="F2532" s="1">
        <v>4.5</v>
      </c>
      <c r="G2532" s="1">
        <v>1</v>
      </c>
      <c r="H2532" s="5">
        <v>0.83</v>
      </c>
      <c r="I2532" s="2">
        <f>1/1.21</f>
        <v>0.82644628099173556</v>
      </c>
      <c r="J2532">
        <v>14958</v>
      </c>
      <c r="K2532">
        <v>16.640165917732457</v>
      </c>
      <c r="L2532">
        <v>14.46940891807812</v>
      </c>
      <c r="M2532">
        <v>0.8</v>
      </c>
    </row>
    <row r="2533" spans="1:15" x14ac:dyDescent="0.25">
      <c r="A2533" s="8" t="s">
        <v>516</v>
      </c>
      <c r="B2533" s="1" t="s">
        <v>412</v>
      </c>
      <c r="C2533" s="1">
        <v>2018</v>
      </c>
      <c r="D2533" s="1">
        <v>4</v>
      </c>
      <c r="E2533" s="1">
        <v>5</v>
      </c>
      <c r="F2533" s="1">
        <v>4.5</v>
      </c>
      <c r="G2533" s="1">
        <v>1</v>
      </c>
      <c r="H2533" s="5">
        <v>1.02</v>
      </c>
      <c r="I2533" s="2">
        <f>1/1.42</f>
        <v>0.70422535211267612</v>
      </c>
      <c r="J2533" s="3">
        <v>14975</v>
      </c>
      <c r="K2533">
        <v>16.640165917732457</v>
      </c>
      <c r="L2533">
        <v>14.46940891807812</v>
      </c>
      <c r="M2533">
        <v>0.8</v>
      </c>
    </row>
    <row r="2534" spans="1:15" x14ac:dyDescent="0.25">
      <c r="A2534" s="8" t="s">
        <v>517</v>
      </c>
      <c r="B2534" s="1" t="s">
        <v>412</v>
      </c>
      <c r="C2534" s="1">
        <v>2014</v>
      </c>
      <c r="D2534" s="1">
        <v>3</v>
      </c>
      <c r="E2534" s="1">
        <v>3</v>
      </c>
      <c r="F2534" s="1">
        <v>3</v>
      </c>
      <c r="G2534" s="1">
        <v>0</v>
      </c>
      <c r="H2534" s="5">
        <v>1.8</v>
      </c>
      <c r="I2534" s="2">
        <f>1/1.4</f>
        <v>0.7142857142857143</v>
      </c>
      <c r="J2534" s="3">
        <v>1066</v>
      </c>
      <c r="K2534">
        <v>8.1372549019607838</v>
      </c>
      <c r="L2534">
        <v>2.4509803921568629</v>
      </c>
      <c r="M2534">
        <v>0.5</v>
      </c>
    </row>
    <row r="2535" spans="1:15" x14ac:dyDescent="0.25">
      <c r="A2535" s="8" t="s">
        <v>517</v>
      </c>
      <c r="B2535" s="1" t="s">
        <v>412</v>
      </c>
      <c r="C2535" s="1">
        <v>2015</v>
      </c>
      <c r="D2535" s="1">
        <v>3</v>
      </c>
      <c r="E2535" s="1">
        <v>3</v>
      </c>
      <c r="F2535" s="1">
        <v>3</v>
      </c>
      <c r="G2535" s="1">
        <v>0</v>
      </c>
      <c r="H2535" s="5">
        <v>1.17</v>
      </c>
      <c r="I2535" s="2">
        <f>1/0.89</f>
        <v>1.1235955056179776</v>
      </c>
      <c r="J2535" s="3">
        <v>1060</v>
      </c>
      <c r="K2535">
        <v>8.1372549019607838</v>
      </c>
      <c r="L2535">
        <v>2.4509803921568629</v>
      </c>
      <c r="M2535">
        <v>0.5</v>
      </c>
    </row>
    <row r="2536" spans="1:15" x14ac:dyDescent="0.25">
      <c r="A2536" t="s">
        <v>517</v>
      </c>
      <c r="B2536" s="1" t="s">
        <v>412</v>
      </c>
      <c r="C2536" s="1">
        <v>2016</v>
      </c>
      <c r="D2536" s="1">
        <v>3</v>
      </c>
      <c r="E2536" s="1">
        <v>3</v>
      </c>
      <c r="F2536" s="1">
        <v>3</v>
      </c>
      <c r="G2536" s="1">
        <v>0</v>
      </c>
      <c r="H2536" s="5">
        <v>1.03</v>
      </c>
      <c r="I2536" s="2">
        <f>1/1.49</f>
        <v>0.67114093959731547</v>
      </c>
      <c r="J2536" s="6">
        <v>1020</v>
      </c>
      <c r="K2536" s="7">
        <v>8.1372549019607838</v>
      </c>
      <c r="L2536" s="7">
        <v>2.4509803921568629</v>
      </c>
      <c r="M2536">
        <v>0.5</v>
      </c>
      <c r="O2536" s="7"/>
    </row>
    <row r="2537" spans="1:15" x14ac:dyDescent="0.25">
      <c r="A2537" t="s">
        <v>517</v>
      </c>
      <c r="B2537" s="1" t="s">
        <v>412</v>
      </c>
      <c r="C2537" s="1">
        <v>2017</v>
      </c>
      <c r="D2537" s="1">
        <v>3</v>
      </c>
      <c r="E2537" s="1">
        <v>3</v>
      </c>
      <c r="F2537" s="1">
        <v>3</v>
      </c>
      <c r="G2537" s="1">
        <v>0</v>
      </c>
      <c r="H2537" s="5">
        <v>1.1599999999999999</v>
      </c>
      <c r="I2537" s="2">
        <f>1/1.66</f>
        <v>0.60240963855421692</v>
      </c>
      <c r="J2537">
        <v>1018</v>
      </c>
      <c r="K2537">
        <v>8.1372549019607838</v>
      </c>
      <c r="L2537">
        <v>2.4509803921568629</v>
      </c>
      <c r="M2537">
        <v>0.5</v>
      </c>
    </row>
    <row r="2538" spans="1:15" x14ac:dyDescent="0.25">
      <c r="A2538" s="8" t="s">
        <v>517</v>
      </c>
      <c r="B2538" s="1" t="s">
        <v>412</v>
      </c>
      <c r="C2538" s="1">
        <v>2018</v>
      </c>
      <c r="D2538" s="1">
        <v>3</v>
      </c>
      <c r="E2538" s="1">
        <v>3</v>
      </c>
      <c r="F2538" s="1">
        <v>3</v>
      </c>
      <c r="G2538" s="1">
        <v>0</v>
      </c>
      <c r="H2538" s="5">
        <v>1.1399999999999999</v>
      </c>
      <c r="I2538" s="2">
        <f>1/1.24</f>
        <v>0.80645161290322587</v>
      </c>
      <c r="J2538" s="3">
        <v>1007</v>
      </c>
      <c r="K2538">
        <v>8.1372549019607838</v>
      </c>
      <c r="L2538">
        <v>2.4509803921568629</v>
      </c>
      <c r="M2538">
        <v>0.5</v>
      </c>
    </row>
    <row r="2539" spans="1:15" x14ac:dyDescent="0.25">
      <c r="A2539" s="8" t="s">
        <v>518</v>
      </c>
      <c r="B2539" s="1" t="s">
        <v>412</v>
      </c>
      <c r="C2539" s="1">
        <v>2014</v>
      </c>
      <c r="D2539" s="1">
        <v>4</v>
      </c>
      <c r="E2539" s="1">
        <v>5</v>
      </c>
      <c r="F2539" s="1">
        <v>4.5</v>
      </c>
      <c r="G2539" s="1">
        <v>1</v>
      </c>
      <c r="H2539" s="5">
        <v>0.67</v>
      </c>
      <c r="I2539" s="2">
        <f>1/1.48</f>
        <v>0.67567567567567566</v>
      </c>
      <c r="J2539" s="3">
        <v>2036</v>
      </c>
      <c r="K2539">
        <v>2.0785219399538106</v>
      </c>
      <c r="L2539">
        <v>4.7344110854503461</v>
      </c>
      <c r="M2539">
        <v>0.2</v>
      </c>
    </row>
    <row r="2540" spans="1:15" x14ac:dyDescent="0.25">
      <c r="A2540" s="8" t="s">
        <v>518</v>
      </c>
      <c r="B2540" s="1" t="s">
        <v>412</v>
      </c>
      <c r="C2540" s="1">
        <v>2015</v>
      </c>
      <c r="D2540" s="1">
        <v>4</v>
      </c>
      <c r="E2540" s="1">
        <v>5</v>
      </c>
      <c r="F2540" s="1">
        <v>4.5</v>
      </c>
      <c r="G2540" s="1">
        <v>1</v>
      </c>
      <c r="H2540" s="5">
        <v>1.34</v>
      </c>
      <c r="I2540" s="2">
        <f>10/13</f>
        <v>0.76923076923076927</v>
      </c>
      <c r="J2540" s="3">
        <v>1906</v>
      </c>
      <c r="K2540">
        <v>2.0785219399538106</v>
      </c>
      <c r="L2540">
        <v>4.7344110854503461</v>
      </c>
      <c r="M2540">
        <v>0.2</v>
      </c>
    </row>
    <row r="2541" spans="1:15" x14ac:dyDescent="0.25">
      <c r="A2541" t="s">
        <v>518</v>
      </c>
      <c r="B2541" s="1" t="s">
        <v>412</v>
      </c>
      <c r="C2541" s="1">
        <v>2016</v>
      </c>
      <c r="D2541" s="1">
        <v>4</v>
      </c>
      <c r="E2541" s="1">
        <v>5</v>
      </c>
      <c r="F2541" s="1">
        <v>4.5</v>
      </c>
      <c r="G2541" s="1">
        <v>1</v>
      </c>
      <c r="H2541" s="5">
        <v>0.13200000000000001</v>
      </c>
      <c r="I2541" s="5">
        <v>0.8</v>
      </c>
      <c r="J2541" s="6">
        <v>1732</v>
      </c>
      <c r="K2541" s="7">
        <v>2.0785219399538106</v>
      </c>
      <c r="L2541" s="7">
        <v>4.7344110854503461</v>
      </c>
      <c r="M2541">
        <v>0.2</v>
      </c>
      <c r="O2541" s="7"/>
    </row>
    <row r="2542" spans="1:15" x14ac:dyDescent="0.25">
      <c r="A2542" t="s">
        <v>518</v>
      </c>
      <c r="B2542" s="1" t="s">
        <v>412</v>
      </c>
      <c r="C2542" s="1">
        <v>2017</v>
      </c>
      <c r="D2542" s="1">
        <v>4</v>
      </c>
      <c r="E2542" s="1">
        <v>5</v>
      </c>
      <c r="F2542" s="1">
        <v>4.5</v>
      </c>
      <c r="G2542" s="1">
        <v>1</v>
      </c>
      <c r="H2542" s="5">
        <v>0.41</v>
      </c>
      <c r="I2542" s="2">
        <f>50/51</f>
        <v>0.98039215686274506</v>
      </c>
      <c r="J2542">
        <v>1679</v>
      </c>
      <c r="K2542">
        <v>2.0785219399538106</v>
      </c>
      <c r="L2542">
        <v>4.7344110854503461</v>
      </c>
      <c r="M2542">
        <v>0.2</v>
      </c>
    </row>
    <row r="2543" spans="1:15" x14ac:dyDescent="0.25">
      <c r="A2543" s="8" t="s">
        <v>518</v>
      </c>
      <c r="B2543" s="1" t="s">
        <v>412</v>
      </c>
      <c r="C2543" s="1">
        <v>2018</v>
      </c>
      <c r="D2543" s="1">
        <v>4</v>
      </c>
      <c r="E2543" s="1">
        <v>5</v>
      </c>
      <c r="F2543" s="1">
        <v>4.5</v>
      </c>
      <c r="G2543" s="1">
        <v>1</v>
      </c>
      <c r="H2543" s="5">
        <v>0.56999999999999995</v>
      </c>
      <c r="I2543" s="2">
        <f>100/119</f>
        <v>0.84033613445378152</v>
      </c>
      <c r="J2543" s="3">
        <v>1598</v>
      </c>
      <c r="K2543">
        <v>2.0785219399538106</v>
      </c>
      <c r="L2543">
        <v>4.7344110854503461</v>
      </c>
      <c r="M2543">
        <v>0.2</v>
      </c>
    </row>
    <row r="2544" spans="1:15" x14ac:dyDescent="0.25">
      <c r="A2544" s="8" t="s">
        <v>519</v>
      </c>
      <c r="B2544" s="1" t="s">
        <v>412</v>
      </c>
      <c r="C2544" s="1">
        <v>2014</v>
      </c>
      <c r="D2544" s="1">
        <v>1</v>
      </c>
      <c r="E2544" s="1">
        <v>2</v>
      </c>
      <c r="F2544" s="1">
        <v>1.5</v>
      </c>
      <c r="G2544" s="1">
        <v>1</v>
      </c>
      <c r="H2544" s="5">
        <v>1.1299999999999999</v>
      </c>
      <c r="I2544" s="2">
        <f>10/11</f>
        <v>0.90909090909090906</v>
      </c>
      <c r="J2544" s="3">
        <v>123038</v>
      </c>
      <c r="K2544">
        <v>2.0477652023786685</v>
      </c>
      <c r="L2544">
        <v>7.7442611420167538</v>
      </c>
      <c r="M2544">
        <v>477.8</v>
      </c>
    </row>
    <row r="2545" spans="1:15" x14ac:dyDescent="0.25">
      <c r="A2545" s="8" t="s">
        <v>519</v>
      </c>
      <c r="B2545" s="1" t="s">
        <v>412</v>
      </c>
      <c r="C2545" s="1">
        <v>2015</v>
      </c>
      <c r="D2545" s="1">
        <v>1</v>
      </c>
      <c r="E2545" s="1">
        <v>2</v>
      </c>
      <c r="F2545" s="1">
        <v>1.5</v>
      </c>
      <c r="G2545" s="1">
        <v>1</v>
      </c>
      <c r="H2545" s="5">
        <v>0.8</v>
      </c>
      <c r="I2545" s="2">
        <f>100/107</f>
        <v>0.93457943925233644</v>
      </c>
      <c r="J2545" s="3">
        <v>126012</v>
      </c>
      <c r="K2545">
        <v>2.0477652023786685</v>
      </c>
      <c r="L2545">
        <v>7.7442611420167538</v>
      </c>
      <c r="M2545">
        <v>489.4</v>
      </c>
    </row>
    <row r="2546" spans="1:15" x14ac:dyDescent="0.25">
      <c r="A2546" t="s">
        <v>519</v>
      </c>
      <c r="B2546" s="1" t="s">
        <v>412</v>
      </c>
      <c r="C2546" s="1">
        <v>2016</v>
      </c>
      <c r="D2546" s="1">
        <v>1</v>
      </c>
      <c r="E2546" s="1">
        <v>2</v>
      </c>
      <c r="F2546" s="1">
        <v>1.5</v>
      </c>
      <c r="G2546" s="1">
        <v>1</v>
      </c>
      <c r="H2546" s="5">
        <v>0.48</v>
      </c>
      <c r="I2546" s="2">
        <v>0.8</v>
      </c>
      <c r="J2546" s="6">
        <v>125112</v>
      </c>
      <c r="K2546" s="7">
        <v>2.0477652023786685</v>
      </c>
      <c r="L2546" s="7">
        <v>7.7442611420167538</v>
      </c>
      <c r="M2546">
        <v>500.9</v>
      </c>
      <c r="O2546" s="7"/>
    </row>
    <row r="2547" spans="1:15" x14ac:dyDescent="0.25">
      <c r="A2547" t="s">
        <v>519</v>
      </c>
      <c r="B2547" s="1" t="s">
        <v>412</v>
      </c>
      <c r="C2547" s="1">
        <v>2017</v>
      </c>
      <c r="D2547" s="1">
        <v>1</v>
      </c>
      <c r="E2547" s="1">
        <v>2</v>
      </c>
      <c r="F2547" s="1">
        <v>1.5</v>
      </c>
      <c r="G2547" s="1">
        <v>1</v>
      </c>
      <c r="H2547" s="5">
        <v>0.59</v>
      </c>
      <c r="I2547" s="2">
        <f>100/136</f>
        <v>0.73529411764705888</v>
      </c>
      <c r="J2547">
        <v>131003</v>
      </c>
      <c r="K2547">
        <v>2.0477652023786685</v>
      </c>
      <c r="L2547">
        <v>7.7442611420167538</v>
      </c>
      <c r="M2547">
        <v>508.8</v>
      </c>
    </row>
    <row r="2548" spans="1:15" x14ac:dyDescent="0.25">
      <c r="A2548" s="8" t="s">
        <v>519</v>
      </c>
      <c r="B2548" s="1" t="s">
        <v>412</v>
      </c>
      <c r="C2548" s="1">
        <v>2018</v>
      </c>
      <c r="D2548" s="1">
        <v>1</v>
      </c>
      <c r="E2548" s="1">
        <v>2</v>
      </c>
      <c r="F2548" s="1">
        <v>1.5</v>
      </c>
      <c r="G2548" s="1">
        <v>1</v>
      </c>
      <c r="H2548" s="5">
        <v>0.59</v>
      </c>
      <c r="I2548" s="2">
        <f>100/132</f>
        <v>0.75757575757575757</v>
      </c>
      <c r="J2548" s="3">
        <v>133389</v>
      </c>
      <c r="K2548">
        <v>2.0477652023786685</v>
      </c>
      <c r="L2548">
        <v>7.7442611420167538</v>
      </c>
      <c r="M2548">
        <v>518</v>
      </c>
    </row>
    <row r="2549" spans="1:15" x14ac:dyDescent="0.25">
      <c r="A2549" s="8" t="s">
        <v>520</v>
      </c>
      <c r="B2549" s="1" t="s">
        <v>412</v>
      </c>
      <c r="C2549" s="1">
        <v>2014</v>
      </c>
      <c r="D2549" s="1">
        <v>5</v>
      </c>
      <c r="E2549" s="1">
        <v>5</v>
      </c>
      <c r="F2549" s="1">
        <v>5</v>
      </c>
      <c r="G2549" s="1">
        <v>0</v>
      </c>
      <c r="H2549" s="5">
        <v>1.25</v>
      </c>
      <c r="I2549" s="2">
        <f>100/139</f>
        <v>0.71942446043165464</v>
      </c>
      <c r="J2549" s="3">
        <v>106</v>
      </c>
      <c r="K2549">
        <v>0</v>
      </c>
      <c r="L2549">
        <v>5.6</v>
      </c>
      <c r="M2549">
        <v>0</v>
      </c>
    </row>
    <row r="2550" spans="1:15" x14ac:dyDescent="0.25">
      <c r="A2550" s="8" t="s">
        <v>520</v>
      </c>
      <c r="B2550" s="1" t="s">
        <v>412</v>
      </c>
      <c r="C2550" s="1">
        <v>2015</v>
      </c>
      <c r="D2550" s="1">
        <v>5</v>
      </c>
      <c r="E2550" s="1">
        <v>5</v>
      </c>
      <c r="F2550" s="1">
        <v>5</v>
      </c>
      <c r="G2550" s="1">
        <v>0</v>
      </c>
      <c r="H2550" s="5">
        <v>1.62</v>
      </c>
      <c r="I2550" s="2">
        <f>100/23</f>
        <v>4.3478260869565215</v>
      </c>
      <c r="J2550" s="3">
        <v>100</v>
      </c>
      <c r="K2550">
        <v>0</v>
      </c>
      <c r="L2550">
        <v>5.6</v>
      </c>
      <c r="M2550">
        <v>0</v>
      </c>
    </row>
    <row r="2551" spans="1:15" x14ac:dyDescent="0.25">
      <c r="A2551" t="s">
        <v>520</v>
      </c>
      <c r="B2551" s="1" t="s">
        <v>412</v>
      </c>
      <c r="C2551" s="1">
        <v>2016</v>
      </c>
      <c r="D2551" s="1">
        <v>5</v>
      </c>
      <c r="E2551" s="1">
        <v>5</v>
      </c>
      <c r="F2551" s="1">
        <v>5</v>
      </c>
      <c r="G2551" s="1">
        <v>0</v>
      </c>
      <c r="H2551" s="5">
        <v>1.67</v>
      </c>
      <c r="I2551" s="2">
        <f>100/209</f>
        <v>0.4784688995215311</v>
      </c>
      <c r="J2551" s="6">
        <v>89</v>
      </c>
      <c r="K2551" s="11">
        <v>0</v>
      </c>
      <c r="L2551" s="11">
        <v>5.6</v>
      </c>
      <c r="M2551">
        <v>0</v>
      </c>
      <c r="O2551" s="7"/>
    </row>
    <row r="2552" spans="1:15" x14ac:dyDescent="0.25">
      <c r="A2552" t="s">
        <v>520</v>
      </c>
      <c r="B2552" s="1" t="s">
        <v>412</v>
      </c>
      <c r="C2552" s="1">
        <v>2017</v>
      </c>
      <c r="D2552" s="1">
        <v>5</v>
      </c>
      <c r="E2552" s="1">
        <v>5</v>
      </c>
      <c r="F2552" s="1">
        <v>5</v>
      </c>
      <c r="G2552" s="1">
        <v>0</v>
      </c>
      <c r="H2552" s="5">
        <v>2.9</v>
      </c>
      <c r="I2552" s="2">
        <f>100/21</f>
        <v>4.7619047619047619</v>
      </c>
      <c r="J2552">
        <v>85</v>
      </c>
      <c r="K2552">
        <v>0</v>
      </c>
      <c r="L2552">
        <v>5.6</v>
      </c>
      <c r="M2552">
        <v>0</v>
      </c>
    </row>
    <row r="2553" spans="1:15" x14ac:dyDescent="0.25">
      <c r="A2553" s="8" t="s">
        <v>520</v>
      </c>
      <c r="B2553" s="1" t="s">
        <v>412</v>
      </c>
      <c r="C2553" s="1">
        <v>2018</v>
      </c>
      <c r="D2553" s="1">
        <v>5</v>
      </c>
      <c r="E2553" s="1">
        <v>5</v>
      </c>
      <c r="F2553" s="1">
        <v>5</v>
      </c>
      <c r="G2553" s="1">
        <v>0</v>
      </c>
      <c r="H2553" s="5">
        <v>0.71</v>
      </c>
      <c r="I2553" s="2">
        <f>100/109</f>
        <v>0.91743119266055051</v>
      </c>
      <c r="J2553" s="3">
        <v>81</v>
      </c>
      <c r="K2553">
        <v>0</v>
      </c>
      <c r="L2553">
        <v>5.6</v>
      </c>
      <c r="M2553">
        <v>0</v>
      </c>
    </row>
    <row r="2554" spans="1:15" x14ac:dyDescent="0.25">
      <c r="A2554" s="8" t="s">
        <v>521</v>
      </c>
      <c r="B2554" s="1" t="s">
        <v>412</v>
      </c>
      <c r="C2554" s="1">
        <v>2014</v>
      </c>
      <c r="D2554" s="1">
        <v>1</v>
      </c>
      <c r="E2554" s="1">
        <v>2</v>
      </c>
      <c r="F2554" s="1">
        <v>1.5</v>
      </c>
      <c r="G2554" s="1">
        <v>1</v>
      </c>
      <c r="H2554" s="5">
        <v>1.22</v>
      </c>
      <c r="I2554" s="2">
        <f>20/21</f>
        <v>0.95238095238095233</v>
      </c>
      <c r="J2554" s="3">
        <v>23592</v>
      </c>
      <c r="K2554">
        <v>2.0386865938653052</v>
      </c>
      <c r="L2554">
        <v>9.2244046066117544</v>
      </c>
      <c r="M2554">
        <v>26.2</v>
      </c>
    </row>
    <row r="2555" spans="1:15" x14ac:dyDescent="0.25">
      <c r="A2555" s="8" t="s">
        <v>521</v>
      </c>
      <c r="B2555" s="1" t="s">
        <v>412</v>
      </c>
      <c r="C2555" s="1">
        <v>2015</v>
      </c>
      <c r="D2555" s="1">
        <v>1</v>
      </c>
      <c r="E2555" s="1">
        <v>2</v>
      </c>
      <c r="F2555" s="1">
        <v>1.5</v>
      </c>
      <c r="G2555" s="1">
        <v>1</v>
      </c>
      <c r="H2555" s="5">
        <v>0.84</v>
      </c>
      <c r="I2555" s="2">
        <f>100/91</f>
        <v>1.098901098901099</v>
      </c>
      <c r="J2555" s="3">
        <v>25499</v>
      </c>
      <c r="K2555">
        <v>2.0386865938653052</v>
      </c>
      <c r="L2555">
        <v>9.2244046066117544</v>
      </c>
      <c r="M2555">
        <v>28.3</v>
      </c>
    </row>
    <row r="2556" spans="1:15" x14ac:dyDescent="0.25">
      <c r="A2556" t="s">
        <v>521</v>
      </c>
      <c r="B2556" s="1" t="s">
        <v>412</v>
      </c>
      <c r="C2556" s="1">
        <v>2016</v>
      </c>
      <c r="D2556" s="1">
        <v>1</v>
      </c>
      <c r="E2556" s="1">
        <v>2</v>
      </c>
      <c r="F2556" s="1">
        <v>1.5</v>
      </c>
      <c r="G2556" s="1">
        <v>1</v>
      </c>
      <c r="H2556" s="5">
        <v>0.71</v>
      </c>
      <c r="I2556" s="2">
        <f>50/53</f>
        <v>0.94339622641509435</v>
      </c>
      <c r="J2556" s="6">
        <v>26831</v>
      </c>
      <c r="K2556" s="7">
        <v>2.0386865938653052</v>
      </c>
      <c r="L2556" s="7">
        <v>9.2244046066117544</v>
      </c>
      <c r="M2556">
        <v>30.6</v>
      </c>
      <c r="O2556" s="7"/>
    </row>
    <row r="2557" spans="1:15" x14ac:dyDescent="0.25">
      <c r="A2557" t="s">
        <v>521</v>
      </c>
      <c r="B2557" s="1" t="s">
        <v>412</v>
      </c>
      <c r="C2557" s="1">
        <v>2017</v>
      </c>
      <c r="D2557" s="1">
        <v>1</v>
      </c>
      <c r="E2557" s="1">
        <v>2</v>
      </c>
      <c r="F2557" s="1">
        <v>1.5</v>
      </c>
      <c r="G2557" s="1">
        <v>1</v>
      </c>
      <c r="H2557" s="5">
        <v>0.64</v>
      </c>
      <c r="I2557" s="5">
        <v>1</v>
      </c>
      <c r="J2557">
        <v>29355</v>
      </c>
      <c r="K2557">
        <v>2.0386865938653052</v>
      </c>
      <c r="L2557">
        <v>9.2244046066117544</v>
      </c>
      <c r="M2557">
        <v>32.6</v>
      </c>
    </row>
    <row r="2558" spans="1:15" x14ac:dyDescent="0.25">
      <c r="A2558" s="8" t="s">
        <v>521</v>
      </c>
      <c r="B2558" s="1" t="s">
        <v>412</v>
      </c>
      <c r="C2558" s="1">
        <v>2018</v>
      </c>
      <c r="D2558" s="1">
        <v>1</v>
      </c>
      <c r="E2558" s="1">
        <v>2</v>
      </c>
      <c r="F2558" s="1">
        <v>1.5</v>
      </c>
      <c r="G2558" s="1">
        <v>1</v>
      </c>
      <c r="H2558" s="5">
        <v>0.66</v>
      </c>
      <c r="I2558" s="2">
        <f>10/11</f>
        <v>0.90909090909090906</v>
      </c>
      <c r="J2558" s="3">
        <v>30933</v>
      </c>
      <c r="K2558">
        <v>2.0386865938653052</v>
      </c>
      <c r="L2558">
        <v>9.2244046066117544</v>
      </c>
      <c r="M2558">
        <v>34.299999999999997</v>
      </c>
    </row>
    <row r="2559" spans="1:15" x14ac:dyDescent="0.25">
      <c r="A2559" s="8" t="s">
        <v>522</v>
      </c>
      <c r="B2559" s="1" t="s">
        <v>412</v>
      </c>
      <c r="C2559" s="1">
        <v>2014</v>
      </c>
      <c r="D2559" s="1">
        <v>5</v>
      </c>
      <c r="E2559" s="1">
        <v>5</v>
      </c>
      <c r="F2559" s="1">
        <v>5</v>
      </c>
      <c r="G2559" s="1">
        <v>0</v>
      </c>
      <c r="H2559" s="5">
        <v>0.76</v>
      </c>
      <c r="I2559" s="2">
        <f>100/167</f>
        <v>0.59880239520958078</v>
      </c>
      <c r="J2559" s="3">
        <v>948</v>
      </c>
      <c r="K2559">
        <v>7.0749736008447739</v>
      </c>
      <c r="L2559">
        <v>6.1246040126715942</v>
      </c>
      <c r="M2559">
        <v>0</v>
      </c>
    </row>
    <row r="2560" spans="1:15" x14ac:dyDescent="0.25">
      <c r="A2560" s="8" t="s">
        <v>522</v>
      </c>
      <c r="B2560" s="1" t="s">
        <v>412</v>
      </c>
      <c r="C2560" s="1">
        <v>2015</v>
      </c>
      <c r="D2560" s="1">
        <v>5</v>
      </c>
      <c r="E2560" s="1">
        <v>5</v>
      </c>
      <c r="F2560" s="1">
        <v>5</v>
      </c>
      <c r="G2560" s="1">
        <v>0</v>
      </c>
      <c r="H2560" s="5">
        <v>0.77</v>
      </c>
      <c r="I2560" s="2">
        <f>100/105</f>
        <v>0.95238095238095233</v>
      </c>
      <c r="J2560" s="3">
        <v>965</v>
      </c>
      <c r="K2560">
        <v>7.0749736008447739</v>
      </c>
      <c r="L2560">
        <v>6.1246040126715942</v>
      </c>
      <c r="M2560">
        <v>0</v>
      </c>
    </row>
    <row r="2561" spans="1:15" x14ac:dyDescent="0.25">
      <c r="A2561" t="s">
        <v>522</v>
      </c>
      <c r="B2561" s="1" t="s">
        <v>412</v>
      </c>
      <c r="C2561" s="1">
        <v>2016</v>
      </c>
      <c r="D2561" s="1">
        <v>5</v>
      </c>
      <c r="E2561" s="1">
        <v>5</v>
      </c>
      <c r="F2561" s="1">
        <v>5</v>
      </c>
      <c r="G2561" s="1">
        <v>0</v>
      </c>
      <c r="H2561" s="5">
        <v>1.5</v>
      </c>
      <c r="I2561" s="2">
        <f>100/172</f>
        <v>0.58139534883720934</v>
      </c>
      <c r="J2561" s="6">
        <v>947</v>
      </c>
      <c r="K2561" s="7">
        <v>7.0749736008447739</v>
      </c>
      <c r="L2561" s="7">
        <v>6.1246040126715942</v>
      </c>
      <c r="M2561">
        <v>0</v>
      </c>
      <c r="O2561" s="7"/>
    </row>
    <row r="2562" spans="1:15" x14ac:dyDescent="0.25">
      <c r="A2562" t="s">
        <v>522</v>
      </c>
      <c r="B2562" s="1" t="s">
        <v>412</v>
      </c>
      <c r="C2562" s="1">
        <v>2017</v>
      </c>
      <c r="D2562" s="1">
        <v>5</v>
      </c>
      <c r="E2562" s="1">
        <v>5</v>
      </c>
      <c r="F2562" s="1">
        <v>5</v>
      </c>
      <c r="G2562" s="1">
        <v>0</v>
      </c>
      <c r="H2562" s="5">
        <v>2.02</v>
      </c>
      <c r="I2562" s="2">
        <f>100/129</f>
        <v>0.77519379844961245</v>
      </c>
      <c r="J2562">
        <v>952</v>
      </c>
      <c r="K2562">
        <v>7.0749736008447739</v>
      </c>
      <c r="L2562">
        <v>6.1246040126715942</v>
      </c>
      <c r="M2562">
        <v>0</v>
      </c>
    </row>
    <row r="2563" spans="1:15" x14ac:dyDescent="0.25">
      <c r="A2563" s="8" t="s">
        <v>522</v>
      </c>
      <c r="B2563" s="1" t="s">
        <v>412</v>
      </c>
      <c r="C2563" s="1">
        <v>2018</v>
      </c>
      <c r="D2563" s="1">
        <v>5</v>
      </c>
      <c r="E2563" s="1">
        <v>5</v>
      </c>
      <c r="F2563" s="1">
        <v>5</v>
      </c>
      <c r="G2563" s="1">
        <v>0</v>
      </c>
      <c r="H2563" s="5">
        <v>0.95</v>
      </c>
      <c r="I2563" s="2">
        <f>100/143</f>
        <v>0.69930069930069927</v>
      </c>
      <c r="J2563" s="3">
        <v>946</v>
      </c>
      <c r="K2563">
        <v>7.0749736008447739</v>
      </c>
      <c r="L2563">
        <v>6.1246040126715942</v>
      </c>
      <c r="M2563">
        <v>0</v>
      </c>
    </row>
    <row r="2564" spans="1:15" x14ac:dyDescent="0.25">
      <c r="A2564" s="8" t="s">
        <v>523</v>
      </c>
      <c r="B2564" s="1" t="s">
        <v>412</v>
      </c>
      <c r="C2564" s="1">
        <v>2014</v>
      </c>
      <c r="D2564" s="1">
        <v>1</v>
      </c>
      <c r="E2564" s="1">
        <v>1</v>
      </c>
      <c r="F2564" s="1">
        <v>1</v>
      </c>
      <c r="G2564" s="1">
        <v>0</v>
      </c>
      <c r="H2564" s="5">
        <v>0.94</v>
      </c>
      <c r="I2564" s="2">
        <f>100/98</f>
        <v>1.0204081632653061</v>
      </c>
      <c r="J2564" s="3">
        <v>44251</v>
      </c>
      <c r="K2564">
        <v>1.26699849960704</v>
      </c>
      <c r="L2564">
        <v>22.143894829598228</v>
      </c>
      <c r="M2564">
        <v>2233.6</v>
      </c>
    </row>
    <row r="2565" spans="1:15" x14ac:dyDescent="0.25">
      <c r="A2565" s="8" t="s">
        <v>523</v>
      </c>
      <c r="B2565" s="1" t="s">
        <v>412</v>
      </c>
      <c r="C2565" s="1">
        <v>2015</v>
      </c>
      <c r="D2565" s="1">
        <v>1</v>
      </c>
      <c r="E2565" s="1">
        <v>1</v>
      </c>
      <c r="F2565" s="1">
        <v>1</v>
      </c>
      <c r="G2565" s="1">
        <v>0</v>
      </c>
      <c r="H2565" s="5">
        <v>1</v>
      </c>
      <c r="I2565" s="2">
        <f>100/67</f>
        <v>1.4925373134328359</v>
      </c>
      <c r="J2565" s="3">
        <v>44096</v>
      </c>
      <c r="K2565">
        <v>1.26699849960704</v>
      </c>
      <c r="L2565">
        <v>22.143894829598228</v>
      </c>
      <c r="M2565">
        <v>2225.8000000000002</v>
      </c>
    </row>
    <row r="2566" spans="1:15" x14ac:dyDescent="0.25">
      <c r="A2566" t="s">
        <v>523</v>
      </c>
      <c r="B2566" s="1" t="s">
        <v>412</v>
      </c>
      <c r="C2566" s="1">
        <v>2016</v>
      </c>
      <c r="D2566" s="1">
        <v>1</v>
      </c>
      <c r="E2566" s="1">
        <v>1</v>
      </c>
      <c r="F2566" s="1">
        <v>1</v>
      </c>
      <c r="G2566" s="1">
        <v>0</v>
      </c>
      <c r="H2566" s="5">
        <v>0.97</v>
      </c>
      <c r="I2566" s="2">
        <f>100/98</f>
        <v>1.0204081632653061</v>
      </c>
      <c r="J2566" s="6">
        <v>41989</v>
      </c>
      <c r="K2566" s="7">
        <v>1.26699849960704</v>
      </c>
      <c r="L2566" s="7">
        <v>22.143894829598228</v>
      </c>
      <c r="M2566">
        <v>2214.8000000000002</v>
      </c>
      <c r="O2566" s="7"/>
    </row>
    <row r="2567" spans="1:15" x14ac:dyDescent="0.25">
      <c r="A2567" t="s">
        <v>523</v>
      </c>
      <c r="B2567" s="1" t="s">
        <v>412</v>
      </c>
      <c r="C2567" s="1">
        <v>2017</v>
      </c>
      <c r="D2567" s="1">
        <v>1</v>
      </c>
      <c r="E2567" s="1">
        <v>1</v>
      </c>
      <c r="F2567" s="1">
        <v>1</v>
      </c>
      <c r="G2567" s="1">
        <v>0</v>
      </c>
      <c r="H2567" s="5">
        <v>1.65</v>
      </c>
      <c r="I2567" s="2">
        <f>100/101</f>
        <v>0.99009900990099009</v>
      </c>
      <c r="J2567">
        <v>43649</v>
      </c>
      <c r="K2567">
        <v>1.26699849960704</v>
      </c>
      <c r="L2567">
        <v>22.143894829598228</v>
      </c>
      <c r="M2567">
        <v>2203.1999999999998</v>
      </c>
    </row>
    <row r="2568" spans="1:15" x14ac:dyDescent="0.25">
      <c r="A2568" s="8" t="s">
        <v>523</v>
      </c>
      <c r="B2568" s="1" t="s">
        <v>412</v>
      </c>
      <c r="C2568" s="1">
        <v>2018</v>
      </c>
      <c r="D2568" s="1">
        <v>1</v>
      </c>
      <c r="E2568" s="1">
        <v>1</v>
      </c>
      <c r="F2568" s="1">
        <v>1</v>
      </c>
      <c r="G2568" s="1">
        <v>0</v>
      </c>
      <c r="H2568" s="5">
        <v>0.62</v>
      </c>
      <c r="I2568" s="2">
        <f>100/106</f>
        <v>0.94339622641509435</v>
      </c>
      <c r="J2568" s="3">
        <v>43554</v>
      </c>
      <c r="K2568">
        <v>1.26699849960704</v>
      </c>
      <c r="L2568">
        <v>22.143894829598228</v>
      </c>
      <c r="M2568">
        <v>2198.4</v>
      </c>
    </row>
    <row r="2569" spans="1:15" x14ac:dyDescent="0.25">
      <c r="A2569" s="8" t="s">
        <v>524</v>
      </c>
      <c r="B2569" s="1" t="s">
        <v>412</v>
      </c>
      <c r="C2569" s="1">
        <v>2014</v>
      </c>
      <c r="D2569" s="1">
        <v>1</v>
      </c>
      <c r="E2569" s="1">
        <v>1</v>
      </c>
      <c r="F2569" s="1">
        <v>1</v>
      </c>
      <c r="G2569" s="1">
        <v>0</v>
      </c>
      <c r="H2569" s="5">
        <v>1.95</v>
      </c>
      <c r="I2569" s="2">
        <f>1/0.95</f>
        <v>1.0526315789473684</v>
      </c>
      <c r="J2569" s="3">
        <v>219372</v>
      </c>
      <c r="K2569">
        <v>1.0594218135284408</v>
      </c>
      <c r="L2569">
        <v>27.294739996860269</v>
      </c>
      <c r="M2569">
        <v>2094.6999999999998</v>
      </c>
    </row>
    <row r="2570" spans="1:15" x14ac:dyDescent="0.25">
      <c r="A2570" s="8" t="s">
        <v>524</v>
      </c>
      <c r="B2570" s="1" t="s">
        <v>412</v>
      </c>
      <c r="C2570" s="1">
        <v>2015</v>
      </c>
      <c r="D2570" s="1">
        <v>1</v>
      </c>
      <c r="E2570" s="1">
        <v>1</v>
      </c>
      <c r="F2570" s="1">
        <v>1</v>
      </c>
      <c r="G2570" s="1">
        <v>0</v>
      </c>
      <c r="H2570" s="5">
        <v>2.72</v>
      </c>
      <c r="I2570" s="2">
        <f>10/9</f>
        <v>1.1111111111111112</v>
      </c>
      <c r="J2570" s="3">
        <v>220152</v>
      </c>
      <c r="K2570">
        <v>1.0594218135284408</v>
      </c>
      <c r="L2570">
        <v>27.294739996860269</v>
      </c>
      <c r="M2570">
        <v>2102.1999999999998</v>
      </c>
    </row>
    <row r="2571" spans="1:15" x14ac:dyDescent="0.25">
      <c r="A2571" t="s">
        <v>524</v>
      </c>
      <c r="B2571" s="1" t="s">
        <v>412</v>
      </c>
      <c r="C2571" s="1">
        <v>2016</v>
      </c>
      <c r="D2571" s="1">
        <v>1</v>
      </c>
      <c r="E2571" s="1">
        <v>1</v>
      </c>
      <c r="F2571" s="1">
        <v>1</v>
      </c>
      <c r="G2571" s="1">
        <v>0</v>
      </c>
      <c r="H2571" s="5">
        <v>2.5099999999999998</v>
      </c>
      <c r="I2571" s="2">
        <f>20/19</f>
        <v>1.0526315789473684</v>
      </c>
      <c r="J2571" s="6">
        <v>210209</v>
      </c>
      <c r="K2571" s="7">
        <v>1.0594218135284408</v>
      </c>
      <c r="L2571" s="7">
        <v>27.294739996860269</v>
      </c>
      <c r="M2571">
        <v>2101.4</v>
      </c>
      <c r="O2571" s="7"/>
    </row>
    <row r="2572" spans="1:15" x14ac:dyDescent="0.25">
      <c r="A2572" t="s">
        <v>524</v>
      </c>
      <c r="B2572" s="1" t="s">
        <v>412</v>
      </c>
      <c r="C2572" s="1">
        <v>2017</v>
      </c>
      <c r="D2572" s="1">
        <v>1</v>
      </c>
      <c r="E2572" s="1">
        <v>1</v>
      </c>
      <c r="F2572" s="1">
        <v>1</v>
      </c>
      <c r="G2572" s="1">
        <v>0</v>
      </c>
      <c r="H2572" s="5">
        <v>3.5</v>
      </c>
      <c r="I2572" s="2">
        <f>100/92</f>
        <v>1.0869565217391304</v>
      </c>
      <c r="J2572">
        <v>219842</v>
      </c>
      <c r="K2572">
        <v>1.0594218135284408</v>
      </c>
      <c r="L2572">
        <v>27.294739996860269</v>
      </c>
      <c r="M2572">
        <v>2099.1999999999998</v>
      </c>
    </row>
    <row r="2573" spans="1:15" x14ac:dyDescent="0.25">
      <c r="A2573" s="8" t="s">
        <v>524</v>
      </c>
      <c r="B2573" s="1" t="s">
        <v>412</v>
      </c>
      <c r="C2573" s="1">
        <v>2018</v>
      </c>
      <c r="D2573" s="1">
        <v>1</v>
      </c>
      <c r="E2573" s="1">
        <v>1</v>
      </c>
      <c r="F2573" s="1">
        <v>1</v>
      </c>
      <c r="G2573" s="1">
        <v>0</v>
      </c>
      <c r="H2573" s="5">
        <v>1</v>
      </c>
      <c r="I2573" s="2">
        <f>100/97</f>
        <v>1.0309278350515463</v>
      </c>
      <c r="J2573" s="3">
        <v>220249</v>
      </c>
      <c r="K2573">
        <v>1.0594218135284408</v>
      </c>
      <c r="L2573">
        <v>27.294739996860269</v>
      </c>
      <c r="M2573">
        <v>2103.1</v>
      </c>
    </row>
    <row r="2574" spans="1:15" x14ac:dyDescent="0.25">
      <c r="A2574" s="8" t="s">
        <v>525</v>
      </c>
      <c r="B2574" s="1" t="s">
        <v>412</v>
      </c>
      <c r="C2574" s="1">
        <v>2014</v>
      </c>
      <c r="D2574" s="1">
        <v>1</v>
      </c>
      <c r="E2574" s="1">
        <v>1</v>
      </c>
      <c r="F2574" s="1">
        <v>1</v>
      </c>
      <c r="G2574" s="1">
        <v>0</v>
      </c>
      <c r="H2574" s="5">
        <v>1.8</v>
      </c>
      <c r="I2574" s="2">
        <f>1/0.35</f>
        <v>2.8571428571428572</v>
      </c>
      <c r="J2574" s="3">
        <v>16700</v>
      </c>
      <c r="K2574">
        <v>0.68687703351753338</v>
      </c>
      <c r="L2574">
        <v>22.465527036099779</v>
      </c>
      <c r="M2574">
        <v>2972.5</v>
      </c>
    </row>
    <row r="2575" spans="1:15" x14ac:dyDescent="0.25">
      <c r="A2575" s="8" t="s">
        <v>525</v>
      </c>
      <c r="B2575" s="1" t="s">
        <v>412</v>
      </c>
      <c r="C2575" s="1">
        <v>2015</v>
      </c>
      <c r="D2575" s="1">
        <v>1</v>
      </c>
      <c r="E2575" s="1">
        <v>1</v>
      </c>
      <c r="F2575" s="1">
        <v>1</v>
      </c>
      <c r="G2575" s="1">
        <v>0</v>
      </c>
      <c r="H2575" s="5">
        <v>2.16</v>
      </c>
      <c r="I2575" s="2">
        <f>1/1.11</f>
        <v>0.9009009009009008</v>
      </c>
      <c r="J2575" s="3">
        <v>16927</v>
      </c>
      <c r="K2575">
        <v>0.68687703351753338</v>
      </c>
      <c r="L2575">
        <v>22.465527036099779</v>
      </c>
      <c r="M2575">
        <v>3012.9</v>
      </c>
    </row>
    <row r="2576" spans="1:15" x14ac:dyDescent="0.25">
      <c r="A2576" t="s">
        <v>525</v>
      </c>
      <c r="B2576" s="1" t="s">
        <v>412</v>
      </c>
      <c r="C2576" s="1">
        <v>2016</v>
      </c>
      <c r="D2576" s="1">
        <v>1</v>
      </c>
      <c r="E2576" s="1">
        <v>1</v>
      </c>
      <c r="F2576" s="1">
        <v>1</v>
      </c>
      <c r="G2576" s="1">
        <v>0</v>
      </c>
      <c r="H2576" s="5">
        <v>0.95</v>
      </c>
      <c r="I2576" s="2">
        <f>100/97</f>
        <v>1.0309278350515463</v>
      </c>
      <c r="J2576" s="6">
        <v>19363</v>
      </c>
      <c r="K2576" s="7">
        <v>0.68687703351753338</v>
      </c>
      <c r="L2576" s="7">
        <v>22.465527036099779</v>
      </c>
      <c r="M2576">
        <v>3029.1</v>
      </c>
      <c r="O2576" s="7"/>
    </row>
    <row r="2577" spans="1:15" x14ac:dyDescent="0.25">
      <c r="A2577" t="s">
        <v>525</v>
      </c>
      <c r="B2577" s="1" t="s">
        <v>412</v>
      </c>
      <c r="C2577" s="1">
        <v>2017</v>
      </c>
      <c r="D2577" s="1">
        <v>1</v>
      </c>
      <c r="E2577" s="1">
        <v>1</v>
      </c>
      <c r="F2577" s="1">
        <v>1</v>
      </c>
      <c r="G2577" s="1">
        <v>0</v>
      </c>
      <c r="H2577" s="5">
        <v>1</v>
      </c>
      <c r="I2577" s="2">
        <f>100/121</f>
        <v>0.82644628099173556</v>
      </c>
      <c r="J2577">
        <v>17143</v>
      </c>
      <c r="K2577">
        <v>0.68687703351753338</v>
      </c>
      <c r="L2577">
        <v>22.465527036099779</v>
      </c>
      <c r="M2577">
        <v>3051.3</v>
      </c>
    </row>
    <row r="2578" spans="1:15" x14ac:dyDescent="0.25">
      <c r="A2578" s="8" t="s">
        <v>525</v>
      </c>
      <c r="B2578" s="1" t="s">
        <v>412</v>
      </c>
      <c r="C2578" s="1">
        <v>2018</v>
      </c>
      <c r="D2578" s="1">
        <v>1</v>
      </c>
      <c r="E2578" s="1">
        <v>1</v>
      </c>
      <c r="F2578" s="1">
        <v>1</v>
      </c>
      <c r="G2578" s="1">
        <v>0</v>
      </c>
      <c r="H2578" s="5">
        <v>1.35</v>
      </c>
      <c r="I2578" s="2">
        <f>100/105</f>
        <v>0.95238095238095233</v>
      </c>
      <c r="J2578" s="3">
        <v>17106</v>
      </c>
      <c r="K2578">
        <v>0.68687703351753338</v>
      </c>
      <c r="L2578">
        <v>22.465527036099779</v>
      </c>
      <c r="M2578">
        <v>3044.7</v>
      </c>
    </row>
    <row r="2579" spans="1:15" x14ac:dyDescent="0.25">
      <c r="A2579" s="8" t="s">
        <v>526</v>
      </c>
      <c r="B2579" s="1" t="s">
        <v>412</v>
      </c>
      <c r="C2579" s="1">
        <v>2014</v>
      </c>
      <c r="D2579" s="1">
        <v>1</v>
      </c>
      <c r="E2579" s="1">
        <v>2</v>
      </c>
      <c r="F2579" s="1">
        <v>1.5</v>
      </c>
      <c r="G2579" s="1">
        <v>1</v>
      </c>
      <c r="H2579" s="5">
        <v>0.8</v>
      </c>
      <c r="I2579" s="2">
        <f>100/78</f>
        <v>1.2820512820512822</v>
      </c>
      <c r="J2579" s="3">
        <v>128032</v>
      </c>
      <c r="K2579">
        <v>2.8457015636790159</v>
      </c>
      <c r="L2579">
        <v>20.711089196195768</v>
      </c>
      <c r="M2579">
        <v>122.8</v>
      </c>
    </row>
    <row r="2580" spans="1:15" x14ac:dyDescent="0.25">
      <c r="A2580" s="8" t="s">
        <v>526</v>
      </c>
      <c r="B2580" s="1" t="s">
        <v>412</v>
      </c>
      <c r="C2580" s="1">
        <v>2015</v>
      </c>
      <c r="D2580" s="1">
        <v>1</v>
      </c>
      <c r="E2580" s="1">
        <v>2</v>
      </c>
      <c r="F2580" s="1">
        <v>1.5</v>
      </c>
      <c r="G2580" s="1">
        <v>1</v>
      </c>
      <c r="H2580" s="5">
        <v>1.03</v>
      </c>
      <c r="I2580" s="2">
        <f>100/78</f>
        <v>1.2820512820512822</v>
      </c>
      <c r="J2580" s="3">
        <v>132127</v>
      </c>
      <c r="K2580">
        <v>2.8457015636790159</v>
      </c>
      <c r="L2580">
        <v>20.711089196195768</v>
      </c>
      <c r="M2580">
        <v>126.7</v>
      </c>
    </row>
    <row r="2581" spans="1:15" x14ac:dyDescent="0.25">
      <c r="A2581" t="s">
        <v>526</v>
      </c>
      <c r="B2581" s="1" t="s">
        <v>412</v>
      </c>
      <c r="C2581" s="1">
        <v>2016</v>
      </c>
      <c r="D2581" s="1">
        <v>1</v>
      </c>
      <c r="E2581" s="1">
        <v>2</v>
      </c>
      <c r="F2581" s="1">
        <v>1.5</v>
      </c>
      <c r="G2581" s="1">
        <v>1</v>
      </c>
      <c r="H2581" s="5">
        <v>1.2</v>
      </c>
      <c r="I2581" s="2">
        <f>100/77</f>
        <v>1.2987012987012987</v>
      </c>
      <c r="J2581" s="6">
        <v>133851</v>
      </c>
      <c r="K2581" s="7">
        <v>2.8457015636790159</v>
      </c>
      <c r="L2581" s="7">
        <v>20.711089196195768</v>
      </c>
      <c r="M2581">
        <v>131</v>
      </c>
      <c r="O2581" s="7"/>
    </row>
    <row r="2582" spans="1:15" x14ac:dyDescent="0.25">
      <c r="A2582" t="s">
        <v>526</v>
      </c>
      <c r="B2582" s="1" t="s">
        <v>412</v>
      </c>
      <c r="C2582" s="1">
        <v>2017</v>
      </c>
      <c r="D2582" s="1">
        <v>1</v>
      </c>
      <c r="E2582" s="1">
        <v>2</v>
      </c>
      <c r="F2582" s="1">
        <v>1.5</v>
      </c>
      <c r="G2582" s="1">
        <v>1</v>
      </c>
      <c r="H2582" s="5">
        <v>1.32</v>
      </c>
      <c r="I2582" s="2">
        <f>100/74</f>
        <v>1.3513513513513513</v>
      </c>
      <c r="J2582">
        <v>139972</v>
      </c>
      <c r="K2582">
        <v>2.8457015636790159</v>
      </c>
      <c r="L2582">
        <v>20.711089196195768</v>
      </c>
      <c r="M2582">
        <v>134.19999999999999</v>
      </c>
    </row>
    <row r="2583" spans="1:15" x14ac:dyDescent="0.25">
      <c r="A2583" s="8" t="s">
        <v>526</v>
      </c>
      <c r="B2583" s="1" t="s">
        <v>412</v>
      </c>
      <c r="C2583" s="1">
        <v>2018</v>
      </c>
      <c r="D2583" s="1">
        <v>1</v>
      </c>
      <c r="E2583" s="1">
        <v>2</v>
      </c>
      <c r="F2583" s="1">
        <v>1.5</v>
      </c>
      <c r="G2583" s="1">
        <v>1</v>
      </c>
      <c r="H2583" s="5">
        <v>0.4</v>
      </c>
      <c r="I2583" s="2">
        <f>100/78</f>
        <v>1.2820512820512822</v>
      </c>
      <c r="J2583" s="3">
        <v>143374</v>
      </c>
      <c r="K2583">
        <v>2.8457015636790159</v>
      </c>
      <c r="L2583">
        <v>20.711089196195768</v>
      </c>
      <c r="M2583">
        <v>137.5</v>
      </c>
    </row>
    <row r="2584" spans="1:15" x14ac:dyDescent="0.25">
      <c r="A2584" s="8" t="s">
        <v>527</v>
      </c>
      <c r="B2584" s="1" t="s">
        <v>412</v>
      </c>
      <c r="C2584" s="1">
        <v>2014</v>
      </c>
      <c r="D2584" s="1">
        <v>3</v>
      </c>
      <c r="E2584" s="1">
        <v>3</v>
      </c>
      <c r="F2584" s="1">
        <v>3</v>
      </c>
      <c r="G2584" s="1">
        <v>0</v>
      </c>
      <c r="H2584" s="5">
        <v>1.1100000000000001</v>
      </c>
      <c r="I2584" s="2">
        <f>1/2.77</f>
        <v>0.36101083032490977</v>
      </c>
      <c r="J2584" s="3">
        <v>414</v>
      </c>
      <c r="K2584">
        <v>10.224438902743142</v>
      </c>
      <c r="L2584">
        <v>2.4937655860349128</v>
      </c>
      <c r="M2584">
        <v>0.4</v>
      </c>
    </row>
    <row r="2585" spans="1:15" x14ac:dyDescent="0.25">
      <c r="A2585" s="8" t="s">
        <v>527</v>
      </c>
      <c r="B2585" s="1" t="s">
        <v>412</v>
      </c>
      <c r="C2585" s="1">
        <v>2015</v>
      </c>
      <c r="D2585" s="1">
        <v>3</v>
      </c>
      <c r="E2585" s="1">
        <v>3</v>
      </c>
      <c r="F2585" s="1">
        <v>3</v>
      </c>
      <c r="G2585" s="1">
        <v>0</v>
      </c>
      <c r="H2585" s="5">
        <v>0.99</v>
      </c>
      <c r="I2585" s="2">
        <f>1/1.02</f>
        <v>0.98039215686274506</v>
      </c>
      <c r="J2585" s="3">
        <v>412</v>
      </c>
      <c r="K2585">
        <v>10.224438902743142</v>
      </c>
      <c r="L2585">
        <v>2.4937655860349128</v>
      </c>
      <c r="M2585">
        <v>0.4</v>
      </c>
    </row>
    <row r="2586" spans="1:15" x14ac:dyDescent="0.25">
      <c r="A2586" t="s">
        <v>527</v>
      </c>
      <c r="B2586" s="1" t="s">
        <v>412</v>
      </c>
      <c r="C2586" s="1">
        <v>2016</v>
      </c>
      <c r="D2586" s="1">
        <v>3</v>
      </c>
      <c r="E2586" s="1">
        <v>3</v>
      </c>
      <c r="F2586" s="1">
        <v>3</v>
      </c>
      <c r="G2586" s="1">
        <v>0</v>
      </c>
      <c r="H2586" s="5">
        <v>0.99</v>
      </c>
      <c r="I2586" s="2">
        <f>1/2.66</f>
        <v>0.37593984962406013</v>
      </c>
      <c r="J2586" s="6">
        <v>401</v>
      </c>
      <c r="K2586" s="7">
        <v>10.224438902743142</v>
      </c>
      <c r="L2586" s="7">
        <v>2.4937655860349128</v>
      </c>
      <c r="M2586">
        <v>0.4</v>
      </c>
      <c r="O2586" s="7"/>
    </row>
    <row r="2587" spans="1:15" x14ac:dyDescent="0.25">
      <c r="A2587" t="s">
        <v>527</v>
      </c>
      <c r="B2587" s="1" t="s">
        <v>412</v>
      </c>
      <c r="C2587" s="1">
        <v>2017</v>
      </c>
      <c r="D2587" s="1">
        <v>3</v>
      </c>
      <c r="E2587" s="1">
        <v>3</v>
      </c>
      <c r="F2587" s="1">
        <v>3</v>
      </c>
      <c r="G2587" s="1">
        <v>0</v>
      </c>
      <c r="H2587" s="5">
        <v>0.35</v>
      </c>
      <c r="I2587" s="2">
        <f>1/1.51</f>
        <v>0.66225165562913912</v>
      </c>
      <c r="J2587">
        <v>407</v>
      </c>
      <c r="K2587">
        <v>10.224438902743142</v>
      </c>
      <c r="L2587">
        <v>2.4937655860349128</v>
      </c>
      <c r="M2587">
        <v>0.4</v>
      </c>
    </row>
    <row r="2588" spans="1:15" x14ac:dyDescent="0.25">
      <c r="A2588" s="8" t="s">
        <v>527</v>
      </c>
      <c r="B2588" s="1" t="s">
        <v>412</v>
      </c>
      <c r="C2588" s="1">
        <v>2018</v>
      </c>
      <c r="D2588" s="1">
        <v>3</v>
      </c>
      <c r="E2588" s="1">
        <v>3</v>
      </c>
      <c r="F2588" s="1">
        <v>3</v>
      </c>
      <c r="G2588" s="1">
        <v>0</v>
      </c>
      <c r="H2588" s="5">
        <v>0.6</v>
      </c>
      <c r="I2588" s="2">
        <f>2/3</f>
        <v>0.66666666666666663</v>
      </c>
      <c r="J2588" s="3">
        <v>401</v>
      </c>
      <c r="K2588">
        <v>10.224438902743142</v>
      </c>
      <c r="L2588">
        <v>2.4937655860349128</v>
      </c>
      <c r="M2588">
        <v>0.4</v>
      </c>
    </row>
    <row r="2589" spans="1:15" x14ac:dyDescent="0.25">
      <c r="A2589" s="8" t="s">
        <v>528</v>
      </c>
      <c r="B2589" s="1" t="s">
        <v>412</v>
      </c>
      <c r="C2589" s="1">
        <v>2014</v>
      </c>
      <c r="D2589" s="1">
        <v>4</v>
      </c>
      <c r="E2589" s="1">
        <v>4</v>
      </c>
      <c r="F2589" s="1">
        <v>4</v>
      </c>
      <c r="G2589" s="1">
        <v>0</v>
      </c>
      <c r="H2589" s="5">
        <v>1.44</v>
      </c>
      <c r="I2589" s="2">
        <f>100/119</f>
        <v>0.84033613445378152</v>
      </c>
      <c r="J2589" s="3">
        <v>627</v>
      </c>
      <c r="K2589">
        <v>8.2770270270270263</v>
      </c>
      <c r="L2589">
        <v>4.7297297297297298</v>
      </c>
      <c r="M2589">
        <v>0.2</v>
      </c>
    </row>
    <row r="2590" spans="1:15" x14ac:dyDescent="0.25">
      <c r="A2590" s="8" t="s">
        <v>528</v>
      </c>
      <c r="B2590" s="1" t="s">
        <v>412</v>
      </c>
      <c r="C2590" s="1">
        <v>2015</v>
      </c>
      <c r="D2590" s="1">
        <v>4</v>
      </c>
      <c r="E2590" s="1">
        <v>4</v>
      </c>
      <c r="F2590" s="1">
        <v>4</v>
      </c>
      <c r="G2590" s="1">
        <v>0</v>
      </c>
      <c r="H2590" s="5">
        <v>1.1000000000000001</v>
      </c>
      <c r="I2590" s="2">
        <f>100/95</f>
        <v>1.0526315789473684</v>
      </c>
      <c r="J2590" s="3">
        <v>619</v>
      </c>
      <c r="K2590">
        <v>8.2770270270270263</v>
      </c>
      <c r="L2590">
        <v>4.7297297297297298</v>
      </c>
      <c r="M2590">
        <v>0.2</v>
      </c>
    </row>
    <row r="2591" spans="1:15" x14ac:dyDescent="0.25">
      <c r="A2591" t="s">
        <v>528</v>
      </c>
      <c r="B2591" s="1" t="s">
        <v>412</v>
      </c>
      <c r="C2591" s="1">
        <v>2016</v>
      </c>
      <c r="D2591" s="1">
        <v>4</v>
      </c>
      <c r="E2591" s="1">
        <v>4</v>
      </c>
      <c r="F2591" s="1">
        <v>4</v>
      </c>
      <c r="G2591" s="1">
        <v>0</v>
      </c>
      <c r="H2591" s="5">
        <v>0.71</v>
      </c>
      <c r="I2591" s="2">
        <f>100/131</f>
        <v>0.76335877862595425</v>
      </c>
      <c r="J2591" s="6">
        <v>592</v>
      </c>
      <c r="K2591" s="7">
        <v>8.2770270270270263</v>
      </c>
      <c r="L2591" s="7">
        <v>4.7297297297297298</v>
      </c>
      <c r="M2591">
        <v>0.2</v>
      </c>
      <c r="O2591" s="7"/>
    </row>
    <row r="2592" spans="1:15" x14ac:dyDescent="0.25">
      <c r="A2592" t="s">
        <v>528</v>
      </c>
      <c r="B2592" s="1" t="s">
        <v>412</v>
      </c>
      <c r="C2592" s="1">
        <v>2017</v>
      </c>
      <c r="D2592" s="1">
        <v>4</v>
      </c>
      <c r="E2592" s="1">
        <v>4</v>
      </c>
      <c r="F2592" s="1">
        <v>4</v>
      </c>
      <c r="G2592" s="1">
        <v>0</v>
      </c>
      <c r="H2592" s="5">
        <v>1.17</v>
      </c>
      <c r="I2592" s="2">
        <f>100/72</f>
        <v>1.3888888888888888</v>
      </c>
      <c r="J2592">
        <v>610</v>
      </c>
      <c r="K2592">
        <v>8.2770270270270263</v>
      </c>
      <c r="L2592">
        <v>4.7297297297297298</v>
      </c>
      <c r="M2592">
        <v>0.2</v>
      </c>
    </row>
    <row r="2593" spans="1:15" x14ac:dyDescent="0.25">
      <c r="A2593" s="8" t="s">
        <v>528</v>
      </c>
      <c r="B2593" s="1" t="s">
        <v>412</v>
      </c>
      <c r="C2593" s="1">
        <v>2018</v>
      </c>
      <c r="D2593" s="1">
        <v>4</v>
      </c>
      <c r="E2593" s="1">
        <v>4</v>
      </c>
      <c r="F2593" s="1">
        <v>4</v>
      </c>
      <c r="G2593" s="1">
        <v>0</v>
      </c>
      <c r="H2593" s="5">
        <v>1.24</v>
      </c>
      <c r="I2593" s="2">
        <f>100/86</f>
        <v>1.1627906976744187</v>
      </c>
      <c r="J2593" s="3">
        <v>591</v>
      </c>
      <c r="K2593">
        <v>8.2770270270270263</v>
      </c>
      <c r="L2593">
        <v>4.7297297297297298</v>
      </c>
      <c r="M2593">
        <v>0.2</v>
      </c>
    </row>
    <row r="2594" spans="1:15" x14ac:dyDescent="0.25">
      <c r="A2594" s="8" t="s">
        <v>529</v>
      </c>
      <c r="B2594" s="1" t="s">
        <v>412</v>
      </c>
      <c r="C2594" s="1">
        <v>2014</v>
      </c>
      <c r="D2594" s="1">
        <v>2</v>
      </c>
      <c r="E2594" s="1">
        <v>3</v>
      </c>
      <c r="F2594" s="1">
        <v>2.5</v>
      </c>
      <c r="G2594" s="1">
        <v>1</v>
      </c>
      <c r="H2594" s="5">
        <v>1.36</v>
      </c>
      <c r="I2594" s="2">
        <f>100/114</f>
        <v>0.8771929824561403</v>
      </c>
      <c r="J2594" s="3">
        <v>4620</v>
      </c>
      <c r="K2594">
        <v>2.746510580819451</v>
      </c>
      <c r="L2594">
        <v>3.6019810895992794</v>
      </c>
      <c r="M2594">
        <v>2.7</v>
      </c>
    </row>
    <row r="2595" spans="1:15" x14ac:dyDescent="0.25">
      <c r="A2595" s="8" t="s">
        <v>529</v>
      </c>
      <c r="B2595" s="1" t="s">
        <v>412</v>
      </c>
      <c r="C2595" s="1">
        <v>2015</v>
      </c>
      <c r="D2595" s="1">
        <v>2</v>
      </c>
      <c r="E2595" s="1">
        <v>3</v>
      </c>
      <c r="F2595" s="1">
        <v>2.5</v>
      </c>
      <c r="G2595" s="1">
        <v>1</v>
      </c>
      <c r="H2595" s="5">
        <v>1.18</v>
      </c>
      <c r="I2595" s="2">
        <f>100/96</f>
        <v>1.0416666666666667</v>
      </c>
      <c r="J2595" s="3">
        <v>4535</v>
      </c>
      <c r="K2595">
        <v>2.746510580819451</v>
      </c>
      <c r="L2595">
        <v>3.6019810895992794</v>
      </c>
      <c r="M2595">
        <v>2.7</v>
      </c>
    </row>
    <row r="2596" spans="1:15" x14ac:dyDescent="0.25">
      <c r="A2596" t="s">
        <v>529</v>
      </c>
      <c r="B2596" s="1" t="s">
        <v>412</v>
      </c>
      <c r="C2596" s="1">
        <v>2016</v>
      </c>
      <c r="D2596" s="1">
        <v>2</v>
      </c>
      <c r="E2596" s="1">
        <v>3</v>
      </c>
      <c r="F2596" s="1">
        <v>2.5</v>
      </c>
      <c r="G2596" s="1">
        <v>1</v>
      </c>
      <c r="H2596" s="5">
        <v>0.67</v>
      </c>
      <c r="I2596" s="2">
        <f>100/147</f>
        <v>0.68027210884353739</v>
      </c>
      <c r="J2596" s="6">
        <v>4442</v>
      </c>
      <c r="K2596" s="7">
        <v>2.746510580819451</v>
      </c>
      <c r="L2596" s="7">
        <v>3.6019810895992794</v>
      </c>
      <c r="M2596">
        <v>2.6</v>
      </c>
      <c r="O2596" s="7"/>
    </row>
    <row r="2597" spans="1:15" x14ac:dyDescent="0.25">
      <c r="A2597" t="s">
        <v>529</v>
      </c>
      <c r="B2597" s="1" t="s">
        <v>412</v>
      </c>
      <c r="C2597" s="1">
        <v>2017</v>
      </c>
      <c r="D2597" s="1">
        <v>2</v>
      </c>
      <c r="E2597" s="1">
        <v>3</v>
      </c>
      <c r="F2597" s="1">
        <v>2.5</v>
      </c>
      <c r="G2597" s="1">
        <v>1</v>
      </c>
      <c r="H2597" s="5">
        <v>0.74</v>
      </c>
      <c r="I2597" s="2">
        <f>100/124</f>
        <v>0.80645161290322576</v>
      </c>
      <c r="J2597">
        <v>4507</v>
      </c>
      <c r="K2597">
        <v>2.746510580819451</v>
      </c>
      <c r="L2597">
        <v>3.6019810895992794</v>
      </c>
      <c r="M2597">
        <v>2.7</v>
      </c>
    </row>
    <row r="2598" spans="1:15" x14ac:dyDescent="0.25">
      <c r="A2598" s="8" t="s">
        <v>529</v>
      </c>
      <c r="B2598" s="1" t="s">
        <v>412</v>
      </c>
      <c r="C2598" s="1">
        <v>2018</v>
      </c>
      <c r="D2598" s="1">
        <v>2</v>
      </c>
      <c r="E2598" s="1">
        <v>3</v>
      </c>
      <c r="F2598" s="1">
        <v>2.5</v>
      </c>
      <c r="G2598" s="1">
        <v>1</v>
      </c>
      <c r="H2598" s="5">
        <v>0.57999999999999996</v>
      </c>
      <c r="I2598" s="2">
        <f>100/121</f>
        <v>0.82644628099173556</v>
      </c>
      <c r="J2598" s="3">
        <v>4427</v>
      </c>
      <c r="K2598">
        <v>2.746510580819451</v>
      </c>
      <c r="L2598">
        <v>3.6019810895992794</v>
      </c>
      <c r="M2598">
        <v>2.6</v>
      </c>
    </row>
    <row r="2599" spans="1:15" x14ac:dyDescent="0.25">
      <c r="A2599" s="8" t="s">
        <v>530</v>
      </c>
      <c r="B2599" s="1" t="s">
        <v>412</v>
      </c>
      <c r="C2599" s="1">
        <v>2014</v>
      </c>
      <c r="D2599" s="1">
        <v>4</v>
      </c>
      <c r="E2599" s="1">
        <v>4</v>
      </c>
      <c r="F2599" s="1">
        <v>4</v>
      </c>
      <c r="G2599" s="1">
        <v>0</v>
      </c>
      <c r="H2599" s="5">
        <v>4.01</v>
      </c>
      <c r="I2599" s="2">
        <f>100/134</f>
        <v>0.74626865671641796</v>
      </c>
      <c r="J2599" s="3">
        <v>364</v>
      </c>
      <c r="K2599">
        <v>4.5999999999999996</v>
      </c>
      <c r="L2599">
        <v>0.9</v>
      </c>
      <c r="M2599">
        <v>0.2</v>
      </c>
    </row>
    <row r="2600" spans="1:15" x14ac:dyDescent="0.25">
      <c r="A2600" s="8" t="s">
        <v>530</v>
      </c>
      <c r="B2600" s="1" t="s">
        <v>412</v>
      </c>
      <c r="C2600" s="1">
        <v>2015</v>
      </c>
      <c r="D2600" s="1">
        <v>4</v>
      </c>
      <c r="E2600" s="1">
        <v>4</v>
      </c>
      <c r="F2600" s="1">
        <v>4</v>
      </c>
      <c r="G2600" s="1">
        <v>0</v>
      </c>
      <c r="H2600" s="5">
        <v>1.78</v>
      </c>
      <c r="I2600" s="2">
        <f>100/64</f>
        <v>1.5625</v>
      </c>
      <c r="J2600" s="3">
        <v>358</v>
      </c>
      <c r="K2600">
        <v>4.5999999999999996</v>
      </c>
      <c r="L2600">
        <v>0.9</v>
      </c>
      <c r="M2600">
        <v>0.2</v>
      </c>
    </row>
    <row r="2601" spans="1:15" x14ac:dyDescent="0.25">
      <c r="A2601" t="s">
        <v>530</v>
      </c>
      <c r="B2601" s="1" t="s">
        <v>412</v>
      </c>
      <c r="C2601" s="1">
        <v>2016</v>
      </c>
      <c r="D2601" s="1">
        <v>4</v>
      </c>
      <c r="E2601" s="1">
        <v>4</v>
      </c>
      <c r="F2601" s="1">
        <v>4</v>
      </c>
      <c r="G2601" s="1">
        <v>0</v>
      </c>
      <c r="H2601" s="5">
        <v>1.1200000000000001</v>
      </c>
      <c r="I2601" s="2">
        <f>100/167</f>
        <v>0.59880239520958078</v>
      </c>
      <c r="J2601" s="6">
        <v>348</v>
      </c>
      <c r="K2601" s="11">
        <v>4.5999999999999996</v>
      </c>
      <c r="L2601" s="11">
        <v>0.9</v>
      </c>
      <c r="M2601">
        <v>0.2</v>
      </c>
      <c r="O2601" s="7"/>
    </row>
    <row r="2602" spans="1:15" x14ac:dyDescent="0.25">
      <c r="A2602" t="s">
        <v>530</v>
      </c>
      <c r="B2602" s="1" t="s">
        <v>412</v>
      </c>
      <c r="C2602" s="1">
        <v>2017</v>
      </c>
      <c r="D2602" s="1">
        <v>4</v>
      </c>
      <c r="E2602" s="1">
        <v>4</v>
      </c>
      <c r="F2602" s="1">
        <v>4</v>
      </c>
      <c r="G2602" s="1">
        <v>0</v>
      </c>
      <c r="H2602" s="5">
        <v>1.44</v>
      </c>
      <c r="I2602" s="2">
        <f>100/69</f>
        <v>1.4492753623188406</v>
      </c>
      <c r="J2602">
        <v>352</v>
      </c>
      <c r="K2602">
        <v>4.5999999999999996</v>
      </c>
      <c r="L2602">
        <v>0.9</v>
      </c>
      <c r="M2602">
        <v>0.2</v>
      </c>
    </row>
    <row r="2603" spans="1:15" x14ac:dyDescent="0.25">
      <c r="A2603" s="8" t="s">
        <v>530</v>
      </c>
      <c r="B2603" s="1" t="s">
        <v>412</v>
      </c>
      <c r="C2603" s="1">
        <v>2018</v>
      </c>
      <c r="D2603" s="1">
        <v>4</v>
      </c>
      <c r="E2603" s="1">
        <v>4</v>
      </c>
      <c r="F2603" s="1">
        <v>4</v>
      </c>
      <c r="G2603" s="1">
        <v>0</v>
      </c>
      <c r="H2603" s="5">
        <v>1.1299999999999999</v>
      </c>
      <c r="I2603" s="2">
        <f>100/122</f>
        <v>0.81967213114754101</v>
      </c>
      <c r="J2603" s="3">
        <v>348</v>
      </c>
      <c r="K2603">
        <v>4.5999999999999996</v>
      </c>
      <c r="L2603">
        <v>0.9</v>
      </c>
      <c r="M2603">
        <v>0.2</v>
      </c>
    </row>
    <row r="2604" spans="1:15" x14ac:dyDescent="0.25">
      <c r="A2604" s="8" t="s">
        <v>531</v>
      </c>
      <c r="B2604" s="1" t="s">
        <v>412</v>
      </c>
      <c r="C2604" s="1">
        <v>2014</v>
      </c>
      <c r="D2604" s="1">
        <v>5</v>
      </c>
      <c r="E2604" s="1">
        <v>5</v>
      </c>
      <c r="F2604" s="1">
        <v>5</v>
      </c>
      <c r="G2604" s="1">
        <v>0</v>
      </c>
      <c r="H2604" s="5">
        <v>2.08</v>
      </c>
      <c r="I2604" s="2">
        <f>1/5.23</f>
        <v>0.19120458891013384</v>
      </c>
      <c r="J2604" s="3">
        <v>275</v>
      </c>
      <c r="K2604">
        <v>58.571428571428577</v>
      </c>
      <c r="L2604">
        <v>5.7142857142857144</v>
      </c>
      <c r="M2604">
        <v>0</v>
      </c>
    </row>
    <row r="2605" spans="1:15" x14ac:dyDescent="0.25">
      <c r="A2605" s="8" t="s">
        <v>531</v>
      </c>
      <c r="B2605" s="1" t="s">
        <v>412</v>
      </c>
      <c r="C2605" s="1">
        <v>2015</v>
      </c>
      <c r="D2605" s="1">
        <v>5</v>
      </c>
      <c r="E2605" s="1">
        <v>5</v>
      </c>
      <c r="F2605" s="1">
        <v>5</v>
      </c>
      <c r="G2605" s="1">
        <v>0</v>
      </c>
      <c r="H2605" s="5">
        <v>0.64</v>
      </c>
      <c r="I2605" s="2">
        <f>1/1.79</f>
        <v>0.55865921787709494</v>
      </c>
      <c r="J2605" s="3">
        <v>278</v>
      </c>
      <c r="K2605">
        <v>58.571428571428577</v>
      </c>
      <c r="L2605">
        <v>5.7142857142857144</v>
      </c>
      <c r="M2605">
        <v>0</v>
      </c>
    </row>
    <row r="2606" spans="1:15" x14ac:dyDescent="0.25">
      <c r="A2606" t="s">
        <v>531</v>
      </c>
      <c r="B2606" s="1" t="s">
        <v>412</v>
      </c>
      <c r="C2606" s="1">
        <v>2016</v>
      </c>
      <c r="D2606" s="1">
        <v>5</v>
      </c>
      <c r="E2606" s="1">
        <v>5</v>
      </c>
      <c r="F2606" s="1">
        <v>5</v>
      </c>
      <c r="G2606" s="1">
        <v>0</v>
      </c>
      <c r="H2606" s="5">
        <v>1.35</v>
      </c>
      <c r="I2606" s="2">
        <f>1/3.18</f>
        <v>0.31446540880503143</v>
      </c>
      <c r="J2606" s="6">
        <v>280</v>
      </c>
      <c r="K2606" s="7">
        <v>58.571428571428577</v>
      </c>
      <c r="L2606" s="7">
        <v>5.7142857142857144</v>
      </c>
      <c r="M2606">
        <v>0</v>
      </c>
      <c r="O2606" s="7"/>
    </row>
    <row r="2607" spans="1:15" x14ac:dyDescent="0.25">
      <c r="A2607" t="s">
        <v>531</v>
      </c>
      <c r="B2607" s="1" t="s">
        <v>412</v>
      </c>
      <c r="C2607" s="1">
        <v>2017</v>
      </c>
      <c r="D2607" s="1">
        <v>5</v>
      </c>
      <c r="E2607" s="1">
        <v>5</v>
      </c>
      <c r="F2607" s="1">
        <v>5</v>
      </c>
      <c r="G2607" s="1">
        <v>0</v>
      </c>
      <c r="H2607" s="5">
        <v>0.78</v>
      </c>
      <c r="I2607" s="5">
        <v>8</v>
      </c>
      <c r="J2607">
        <v>277</v>
      </c>
      <c r="K2607">
        <v>58.571428571428577</v>
      </c>
      <c r="L2607">
        <v>5.7142857142857144</v>
      </c>
      <c r="M2607">
        <v>0</v>
      </c>
    </row>
    <row r="2608" spans="1:15" x14ac:dyDescent="0.25">
      <c r="A2608" s="8" t="s">
        <v>531</v>
      </c>
      <c r="B2608" s="1" t="s">
        <v>412</v>
      </c>
      <c r="C2608" s="1">
        <v>2018</v>
      </c>
      <c r="D2608" s="1">
        <v>5</v>
      </c>
      <c r="E2608" s="1">
        <v>5</v>
      </c>
      <c r="F2608" s="1">
        <v>5</v>
      </c>
      <c r="G2608" s="1">
        <v>0</v>
      </c>
      <c r="H2608" s="5">
        <v>0.7</v>
      </c>
      <c r="I2608" s="2">
        <f>1/2.33</f>
        <v>0.42918454935622319</v>
      </c>
      <c r="J2608" s="3">
        <v>279</v>
      </c>
      <c r="K2608">
        <v>58.571428571428577</v>
      </c>
      <c r="L2608">
        <v>5.7142857142857144</v>
      </c>
      <c r="M2608">
        <v>0</v>
      </c>
    </row>
    <row r="2609" spans="1:15" x14ac:dyDescent="0.25">
      <c r="A2609" s="8" t="s">
        <v>532</v>
      </c>
      <c r="B2609" s="1" t="s">
        <v>412</v>
      </c>
      <c r="C2609" s="1">
        <v>2014</v>
      </c>
      <c r="D2609" s="1">
        <v>1</v>
      </c>
      <c r="E2609" s="1">
        <v>1</v>
      </c>
      <c r="F2609" s="1">
        <v>1</v>
      </c>
      <c r="G2609" s="1">
        <v>0</v>
      </c>
      <c r="H2609" s="5">
        <v>0.49</v>
      </c>
      <c r="I2609" s="2">
        <f>100/96</f>
        <v>1.0416666666666667</v>
      </c>
      <c r="J2609" s="3">
        <v>36570</v>
      </c>
      <c r="K2609">
        <v>1.5090025721634752</v>
      </c>
      <c r="L2609">
        <v>27.016290368676763</v>
      </c>
      <c r="M2609">
        <v>2038.5</v>
      </c>
    </row>
    <row r="2610" spans="1:15" x14ac:dyDescent="0.25">
      <c r="A2610" s="8" t="s">
        <v>532</v>
      </c>
      <c r="B2610" s="1" t="s">
        <v>412</v>
      </c>
      <c r="C2610" s="1">
        <v>2015</v>
      </c>
      <c r="D2610" s="1">
        <v>1</v>
      </c>
      <c r="E2610" s="1">
        <v>1</v>
      </c>
      <c r="F2610" s="1">
        <v>1</v>
      </c>
      <c r="G2610" s="1">
        <v>0</v>
      </c>
      <c r="H2610" s="5">
        <v>0.49</v>
      </c>
      <c r="I2610" s="2">
        <f>100/82</f>
        <v>1.2195121951219512</v>
      </c>
      <c r="J2610" s="3">
        <v>36714</v>
      </c>
      <c r="K2610">
        <v>1.5090025721634752</v>
      </c>
      <c r="L2610">
        <v>27.016290368676763</v>
      </c>
      <c r="M2610">
        <v>2046.5</v>
      </c>
    </row>
    <row r="2611" spans="1:15" x14ac:dyDescent="0.25">
      <c r="A2611" t="s">
        <v>532</v>
      </c>
      <c r="B2611" s="1" t="s">
        <v>412</v>
      </c>
      <c r="C2611" s="1">
        <v>2016</v>
      </c>
      <c r="D2611" s="1">
        <v>1</v>
      </c>
      <c r="E2611" s="1">
        <v>1</v>
      </c>
      <c r="F2611" s="1">
        <v>1</v>
      </c>
      <c r="G2611" s="1">
        <v>0</v>
      </c>
      <c r="H2611" s="5">
        <v>0.28000000000000003</v>
      </c>
      <c r="I2611" s="2">
        <f>100/88</f>
        <v>1.1363636363636365</v>
      </c>
      <c r="J2611" s="6">
        <v>34990</v>
      </c>
      <c r="K2611" s="7">
        <v>1.5090025721634752</v>
      </c>
      <c r="L2611" s="7">
        <v>27.016290368676763</v>
      </c>
      <c r="M2611">
        <v>2042.8</v>
      </c>
      <c r="O2611" s="7"/>
    </row>
    <row r="2612" spans="1:15" x14ac:dyDescent="0.25">
      <c r="A2612" t="s">
        <v>532</v>
      </c>
      <c r="B2612" s="1" t="s">
        <v>412</v>
      </c>
      <c r="C2612" s="1">
        <v>2017</v>
      </c>
      <c r="D2612" s="1">
        <v>1</v>
      </c>
      <c r="E2612" s="1">
        <v>1</v>
      </c>
      <c r="F2612" s="1">
        <v>1</v>
      </c>
      <c r="G2612" s="1">
        <v>0</v>
      </c>
      <c r="H2612" s="5">
        <v>0.61</v>
      </c>
      <c r="I2612" s="2">
        <f>100/91</f>
        <v>1.098901098901099</v>
      </c>
      <c r="J2612">
        <v>36503</v>
      </c>
      <c r="K2612">
        <v>1.5090025721634752</v>
      </c>
      <c r="L2612">
        <v>27.016290368676763</v>
      </c>
      <c r="M2612">
        <v>2034.8</v>
      </c>
    </row>
    <row r="2613" spans="1:15" x14ac:dyDescent="0.25">
      <c r="A2613" s="8" t="s">
        <v>532</v>
      </c>
      <c r="B2613" s="1" t="s">
        <v>412</v>
      </c>
      <c r="C2613" s="1">
        <v>2018</v>
      </c>
      <c r="D2613" s="1">
        <v>1</v>
      </c>
      <c r="E2613" s="1">
        <v>1</v>
      </c>
      <c r="F2613" s="1">
        <v>1</v>
      </c>
      <c r="G2613" s="1">
        <v>0</v>
      </c>
      <c r="H2613" s="5">
        <v>0.72</v>
      </c>
      <c r="I2613" s="2">
        <f>100/90</f>
        <v>1.1111111111111112</v>
      </c>
      <c r="J2613" s="3">
        <v>36601</v>
      </c>
      <c r="K2613">
        <v>1.5090025721634752</v>
      </c>
      <c r="L2613">
        <v>27.016290368676763</v>
      </c>
      <c r="M2613">
        <v>2040.2</v>
      </c>
    </row>
    <row r="2614" spans="1:15" x14ac:dyDescent="0.25">
      <c r="A2614" s="8" t="s">
        <v>533</v>
      </c>
      <c r="B2614" s="1" t="s">
        <v>412</v>
      </c>
      <c r="C2614" s="1">
        <v>2014</v>
      </c>
      <c r="D2614" s="1">
        <v>3</v>
      </c>
      <c r="E2614" s="1">
        <v>3</v>
      </c>
      <c r="F2614" s="1">
        <v>3</v>
      </c>
      <c r="G2614" s="1">
        <v>0</v>
      </c>
      <c r="H2614" s="5">
        <v>2.74</v>
      </c>
      <c r="I2614" s="2">
        <f>1/1.79</f>
        <v>0.55865921787709494</v>
      </c>
      <c r="J2614" s="3">
        <v>934</v>
      </c>
      <c r="K2614">
        <v>2.5191675794085433</v>
      </c>
      <c r="L2614">
        <v>3.6144578313253009</v>
      </c>
      <c r="M2614">
        <v>0.4</v>
      </c>
    </row>
    <row r="2615" spans="1:15" x14ac:dyDescent="0.25">
      <c r="A2615" s="8" t="s">
        <v>533</v>
      </c>
      <c r="B2615" s="1" t="s">
        <v>412</v>
      </c>
      <c r="C2615" s="1">
        <v>2015</v>
      </c>
      <c r="D2615" s="1">
        <v>3</v>
      </c>
      <c r="E2615" s="1">
        <v>3</v>
      </c>
      <c r="F2615" s="1">
        <v>3</v>
      </c>
      <c r="G2615" s="1">
        <v>0</v>
      </c>
      <c r="H2615" s="5">
        <v>1.49</v>
      </c>
      <c r="I2615" s="2">
        <f>1/1.11</f>
        <v>0.9009009009009008</v>
      </c>
      <c r="J2615" s="3">
        <v>931</v>
      </c>
      <c r="K2615">
        <v>2.5191675794085433</v>
      </c>
      <c r="L2615">
        <v>3.6144578313253009</v>
      </c>
      <c r="M2615">
        <v>0.4</v>
      </c>
    </row>
    <row r="2616" spans="1:15" x14ac:dyDescent="0.25">
      <c r="A2616" t="s">
        <v>533</v>
      </c>
      <c r="B2616" s="1" t="s">
        <v>412</v>
      </c>
      <c r="C2616" s="1">
        <v>2016</v>
      </c>
      <c r="D2616" s="1">
        <v>3</v>
      </c>
      <c r="E2616" s="1">
        <v>3</v>
      </c>
      <c r="F2616" s="1">
        <v>3</v>
      </c>
      <c r="G2616" s="1">
        <v>0</v>
      </c>
      <c r="H2616" s="5">
        <v>0.8</v>
      </c>
      <c r="I2616" s="2">
        <f>1/1.86</f>
        <v>0.5376344086021505</v>
      </c>
      <c r="J2616" s="6">
        <v>913</v>
      </c>
      <c r="K2616" s="7">
        <v>2.5191675794085433</v>
      </c>
      <c r="L2616" s="7">
        <v>3.6144578313253009</v>
      </c>
      <c r="M2616">
        <v>0.4</v>
      </c>
      <c r="O2616" s="7"/>
    </row>
    <row r="2617" spans="1:15" x14ac:dyDescent="0.25">
      <c r="A2617" t="s">
        <v>533</v>
      </c>
      <c r="B2617" s="1" t="s">
        <v>412</v>
      </c>
      <c r="C2617" s="1">
        <v>2017</v>
      </c>
      <c r="D2617" s="1">
        <v>3</v>
      </c>
      <c r="E2617" s="1">
        <v>3</v>
      </c>
      <c r="F2617" s="1">
        <v>3</v>
      </c>
      <c r="G2617" s="1">
        <v>0</v>
      </c>
      <c r="H2617" s="5">
        <v>1.25</v>
      </c>
      <c r="I2617" s="2">
        <f>1/1.32</f>
        <v>0.75757575757575757</v>
      </c>
      <c r="J2617">
        <v>929</v>
      </c>
      <c r="K2617">
        <v>2.5191675794085433</v>
      </c>
      <c r="L2617">
        <v>3.6144578313253009</v>
      </c>
      <c r="M2617">
        <v>0.4</v>
      </c>
    </row>
    <row r="2618" spans="1:15" x14ac:dyDescent="0.25">
      <c r="A2618" s="8" t="s">
        <v>533</v>
      </c>
      <c r="B2618" s="1" t="s">
        <v>412</v>
      </c>
      <c r="C2618" s="1">
        <v>2018</v>
      </c>
      <c r="D2618" s="1">
        <v>3</v>
      </c>
      <c r="E2618" s="1">
        <v>3</v>
      </c>
      <c r="F2618" s="1">
        <v>3</v>
      </c>
      <c r="G2618" s="1">
        <v>0</v>
      </c>
      <c r="H2618" s="5">
        <v>0.71</v>
      </c>
      <c r="I2618" s="2">
        <f>1/1.6</f>
        <v>0.625</v>
      </c>
      <c r="J2618" s="3">
        <v>934</v>
      </c>
      <c r="K2618">
        <v>2.5191675794085433</v>
      </c>
      <c r="L2618">
        <v>3.6144578313253009</v>
      </c>
      <c r="M2618">
        <v>0.4</v>
      </c>
    </row>
    <row r="2619" spans="1:15" x14ac:dyDescent="0.25">
      <c r="A2619" s="8" t="s">
        <v>534</v>
      </c>
      <c r="B2619" s="1" t="s">
        <v>412</v>
      </c>
      <c r="C2619" s="1">
        <v>2014</v>
      </c>
      <c r="D2619" s="1">
        <v>1</v>
      </c>
      <c r="E2619" s="1">
        <v>1</v>
      </c>
      <c r="F2619" s="1">
        <v>1</v>
      </c>
      <c r="G2619" s="1">
        <v>0</v>
      </c>
      <c r="H2619" s="5">
        <v>0.5</v>
      </c>
      <c r="I2619" s="2">
        <f>100/107</f>
        <v>0.93457943925233644</v>
      </c>
      <c r="J2619" s="3">
        <v>35631</v>
      </c>
      <c r="K2619">
        <v>0.71521842355175691</v>
      </c>
      <c r="L2619">
        <v>21.803774928774931</v>
      </c>
      <c r="M2619">
        <v>3131.9</v>
      </c>
    </row>
    <row r="2620" spans="1:15" x14ac:dyDescent="0.25">
      <c r="A2620" s="8" t="s">
        <v>534</v>
      </c>
      <c r="B2620" s="1" t="s">
        <v>412</v>
      </c>
      <c r="C2620" s="1">
        <v>2015</v>
      </c>
      <c r="D2620" s="1">
        <v>1</v>
      </c>
      <c r="E2620" s="1">
        <v>1</v>
      </c>
      <c r="F2620" s="1">
        <v>1</v>
      </c>
      <c r="G2620" s="1">
        <v>0</v>
      </c>
      <c r="H2620" s="5">
        <v>0.46</v>
      </c>
      <c r="I2620" s="2">
        <f>100/92</f>
        <v>1.0869565217391304</v>
      </c>
      <c r="J2620" s="3">
        <v>35663</v>
      </c>
      <c r="K2620">
        <v>0.71521842355175691</v>
      </c>
      <c r="L2620">
        <v>21.803774928774931</v>
      </c>
      <c r="M2620">
        <v>3134.7</v>
      </c>
    </row>
    <row r="2621" spans="1:15" x14ac:dyDescent="0.25">
      <c r="A2621" t="s">
        <v>534</v>
      </c>
      <c r="B2621" s="1" t="s">
        <v>412</v>
      </c>
      <c r="C2621" s="1">
        <v>2016</v>
      </c>
      <c r="D2621" s="1">
        <v>1</v>
      </c>
      <c r="E2621" s="1">
        <v>1</v>
      </c>
      <c r="F2621" s="1">
        <v>1</v>
      </c>
      <c r="G2621" s="1">
        <v>0</v>
      </c>
      <c r="H2621" s="5">
        <v>0.53</v>
      </c>
      <c r="I2621" s="2">
        <f>100/95</f>
        <v>1.0526315789473684</v>
      </c>
      <c r="J2621" s="6">
        <v>33696</v>
      </c>
      <c r="K2621" s="7">
        <v>0.71521842355175691</v>
      </c>
      <c r="L2621" s="7">
        <v>21.803774928774931</v>
      </c>
      <c r="M2621">
        <v>3135.7</v>
      </c>
      <c r="O2621" s="7"/>
    </row>
    <row r="2622" spans="1:15" x14ac:dyDescent="0.25">
      <c r="A2622" t="s">
        <v>534</v>
      </c>
      <c r="B2622" s="1" t="s">
        <v>412</v>
      </c>
      <c r="C2622" s="1">
        <v>2017</v>
      </c>
      <c r="D2622" s="1">
        <v>1</v>
      </c>
      <c r="E2622" s="1">
        <v>1</v>
      </c>
      <c r="F2622" s="1">
        <v>1</v>
      </c>
      <c r="G2622" s="1">
        <v>0</v>
      </c>
      <c r="H2622" s="5">
        <v>0.5</v>
      </c>
      <c r="I2622" s="2">
        <f>100/98</f>
        <v>1.0204081632653061</v>
      </c>
      <c r="J2622">
        <v>35723</v>
      </c>
      <c r="K2622">
        <v>0.71521842355175691</v>
      </c>
      <c r="L2622">
        <v>21.803774928774931</v>
      </c>
      <c r="M2622">
        <v>3140</v>
      </c>
    </row>
    <row r="2623" spans="1:15" x14ac:dyDescent="0.25">
      <c r="A2623" s="8" t="s">
        <v>534</v>
      </c>
      <c r="B2623" s="1" t="s">
        <v>412</v>
      </c>
      <c r="C2623" s="1">
        <v>2018</v>
      </c>
      <c r="D2623" s="1">
        <v>1</v>
      </c>
      <c r="E2623" s="1">
        <v>1</v>
      </c>
      <c r="F2623" s="1">
        <v>1</v>
      </c>
      <c r="G2623" s="1">
        <v>0</v>
      </c>
      <c r="H2623" s="5">
        <v>0.44</v>
      </c>
      <c r="I2623" s="2">
        <f>100/106</f>
        <v>0.94339622641509435</v>
      </c>
      <c r="J2623" s="3">
        <v>36088</v>
      </c>
      <c r="K2623">
        <v>0.71521842355175691</v>
      </c>
      <c r="L2623">
        <v>21.803774928774931</v>
      </c>
      <c r="M2623">
        <v>3172</v>
      </c>
    </row>
    <row r="2624" spans="1:15" x14ac:dyDescent="0.25">
      <c r="A2624" s="8" t="s">
        <v>535</v>
      </c>
      <c r="B2624" s="1" t="s">
        <v>412</v>
      </c>
      <c r="C2624" s="1">
        <v>2014</v>
      </c>
      <c r="D2624" s="1">
        <v>3</v>
      </c>
      <c r="E2624" s="1">
        <v>3</v>
      </c>
      <c r="F2624" s="1">
        <v>3</v>
      </c>
      <c r="G2624" s="1">
        <v>0</v>
      </c>
      <c r="H2624" s="5">
        <v>2.1</v>
      </c>
      <c r="I2624" s="2">
        <f>100/122</f>
        <v>0.81967213114754101</v>
      </c>
      <c r="J2624" s="3">
        <v>1921</v>
      </c>
      <c r="K2624">
        <v>1.8918918918918921</v>
      </c>
      <c r="L2624">
        <v>1.5135135135135136</v>
      </c>
      <c r="M2624">
        <v>1</v>
      </c>
    </row>
    <row r="2625" spans="1:15" x14ac:dyDescent="0.25">
      <c r="A2625" s="8" t="s">
        <v>535</v>
      </c>
      <c r="B2625" s="1" t="s">
        <v>412</v>
      </c>
      <c r="C2625" s="1">
        <v>2015</v>
      </c>
      <c r="D2625" s="1">
        <v>3</v>
      </c>
      <c r="E2625" s="1">
        <v>3</v>
      </c>
      <c r="F2625" s="1">
        <v>3</v>
      </c>
      <c r="G2625" s="1">
        <v>0</v>
      </c>
      <c r="H2625" s="5">
        <v>1.62</v>
      </c>
      <c r="I2625" s="2">
        <f>100/90</f>
        <v>1.1111111111111112</v>
      </c>
      <c r="J2625" s="3">
        <v>1915</v>
      </c>
      <c r="K2625">
        <v>1.8918918918918921</v>
      </c>
      <c r="L2625">
        <v>1.5135135135135136</v>
      </c>
      <c r="M2625">
        <v>1</v>
      </c>
    </row>
    <row r="2626" spans="1:15" x14ac:dyDescent="0.25">
      <c r="A2626" t="s">
        <v>535</v>
      </c>
      <c r="B2626" s="1" t="s">
        <v>412</v>
      </c>
      <c r="C2626" s="1">
        <v>2016</v>
      </c>
      <c r="D2626" s="1">
        <v>3</v>
      </c>
      <c r="E2626" s="1">
        <v>3</v>
      </c>
      <c r="F2626" s="1">
        <v>3</v>
      </c>
      <c r="G2626" s="1">
        <v>0</v>
      </c>
      <c r="H2626" s="5">
        <v>1.43</v>
      </c>
      <c r="I2626" s="2">
        <f>100/134</f>
        <v>0.74626865671641796</v>
      </c>
      <c r="J2626" s="6">
        <v>1850</v>
      </c>
      <c r="K2626" s="7">
        <v>1.8918918918918921</v>
      </c>
      <c r="L2626" s="7">
        <v>1.5135135135135136</v>
      </c>
      <c r="M2626">
        <v>1</v>
      </c>
      <c r="O2626" s="7"/>
    </row>
    <row r="2627" spans="1:15" x14ac:dyDescent="0.25">
      <c r="A2627" t="s">
        <v>535</v>
      </c>
      <c r="B2627" s="1" t="s">
        <v>412</v>
      </c>
      <c r="C2627" s="1">
        <v>2017</v>
      </c>
      <c r="D2627" s="1">
        <v>3</v>
      </c>
      <c r="E2627" s="1">
        <v>3</v>
      </c>
      <c r="F2627" s="1">
        <v>3</v>
      </c>
      <c r="G2627" s="1">
        <v>0</v>
      </c>
      <c r="H2627" s="5">
        <v>1.63</v>
      </c>
      <c r="I2627" s="2">
        <f>100/74</f>
        <v>1.3513513513513513</v>
      </c>
      <c r="J2627">
        <v>1855</v>
      </c>
      <c r="K2627">
        <v>1.8918918918918921</v>
      </c>
      <c r="L2627">
        <v>1.5135135135135136</v>
      </c>
      <c r="M2627">
        <v>1</v>
      </c>
    </row>
    <row r="2628" spans="1:15" x14ac:dyDescent="0.25">
      <c r="A2628" s="8" t="s">
        <v>535</v>
      </c>
      <c r="B2628" s="1" t="s">
        <v>412</v>
      </c>
      <c r="C2628" s="1">
        <v>2018</v>
      </c>
      <c r="D2628" s="1">
        <v>3</v>
      </c>
      <c r="E2628" s="1">
        <v>3</v>
      </c>
      <c r="F2628" s="1">
        <v>3</v>
      </c>
      <c r="G2628" s="1">
        <v>0</v>
      </c>
      <c r="H2628" s="5">
        <v>4.9400000000000004</v>
      </c>
      <c r="I2628" s="2">
        <f>100/97</f>
        <v>1.0309278350515463</v>
      </c>
      <c r="J2628" s="3">
        <v>1824</v>
      </c>
      <c r="K2628">
        <v>1.8918918918918921</v>
      </c>
      <c r="L2628">
        <v>1.5135135135135136</v>
      </c>
      <c r="M2628">
        <v>0.9</v>
      </c>
    </row>
    <row r="2629" spans="1:15" x14ac:dyDescent="0.25">
      <c r="A2629" s="8" t="s">
        <v>536</v>
      </c>
      <c r="B2629" s="1" t="s">
        <v>412</v>
      </c>
      <c r="C2629" s="1">
        <v>2014</v>
      </c>
      <c r="D2629" s="1">
        <v>3</v>
      </c>
      <c r="E2629" s="1">
        <v>3</v>
      </c>
      <c r="F2629" s="1">
        <v>3</v>
      </c>
      <c r="G2629" s="1">
        <v>0</v>
      </c>
      <c r="H2629" s="5">
        <v>2.1800000000000002</v>
      </c>
      <c r="I2629" s="2">
        <f>10/13</f>
        <v>0.76923076923076927</v>
      </c>
      <c r="J2629" s="3">
        <v>453</v>
      </c>
      <c r="K2629">
        <v>0.6696428571428571</v>
      </c>
      <c r="L2629">
        <v>2.2321428571428572</v>
      </c>
      <c r="M2629">
        <v>0.2</v>
      </c>
    </row>
    <row r="2630" spans="1:15" x14ac:dyDescent="0.25">
      <c r="A2630" s="8" t="s">
        <v>536</v>
      </c>
      <c r="B2630" s="1" t="s">
        <v>412</v>
      </c>
      <c r="C2630" s="1">
        <v>2015</v>
      </c>
      <c r="D2630" s="1">
        <v>3</v>
      </c>
      <c r="E2630" s="1">
        <v>3</v>
      </c>
      <c r="F2630" s="1">
        <v>3</v>
      </c>
      <c r="G2630" s="1">
        <v>0</v>
      </c>
      <c r="H2630" s="5">
        <v>2.58</v>
      </c>
      <c r="I2630" s="2">
        <f>100/118</f>
        <v>0.84745762711864403</v>
      </c>
      <c r="J2630" s="3">
        <v>457</v>
      </c>
      <c r="K2630">
        <v>0.6696428571428571</v>
      </c>
      <c r="L2630">
        <v>2.2321428571428572</v>
      </c>
      <c r="M2630">
        <v>0.2</v>
      </c>
    </row>
    <row r="2631" spans="1:15" x14ac:dyDescent="0.25">
      <c r="A2631" t="s">
        <v>536</v>
      </c>
      <c r="B2631" s="1" t="s">
        <v>412</v>
      </c>
      <c r="C2631" s="1">
        <v>2016</v>
      </c>
      <c r="D2631" s="1">
        <v>3</v>
      </c>
      <c r="E2631" s="1">
        <v>3</v>
      </c>
      <c r="F2631" s="1">
        <v>3</v>
      </c>
      <c r="G2631" s="1">
        <v>0</v>
      </c>
      <c r="H2631" s="5">
        <v>1.77</v>
      </c>
      <c r="I2631" s="2">
        <f>100/146</f>
        <v>0.68493150684931503</v>
      </c>
      <c r="J2631" s="6">
        <v>448</v>
      </c>
      <c r="K2631" s="7">
        <v>0.6696428571428571</v>
      </c>
      <c r="L2631" s="7">
        <v>2.2321428571428572</v>
      </c>
      <c r="M2631">
        <v>0.2</v>
      </c>
      <c r="O2631" s="7"/>
    </row>
    <row r="2632" spans="1:15" x14ac:dyDescent="0.25">
      <c r="A2632" t="s">
        <v>536</v>
      </c>
      <c r="B2632" s="1" t="s">
        <v>412</v>
      </c>
      <c r="C2632" s="1">
        <v>2017</v>
      </c>
      <c r="D2632" s="1">
        <v>3</v>
      </c>
      <c r="E2632" s="1">
        <v>3</v>
      </c>
      <c r="F2632" s="1">
        <v>3</v>
      </c>
      <c r="G2632" s="1">
        <v>0</v>
      </c>
      <c r="H2632" s="5">
        <v>2.0699999999999998</v>
      </c>
      <c r="I2632" s="2">
        <f>100/94</f>
        <v>1.0638297872340425</v>
      </c>
      <c r="J2632">
        <v>441</v>
      </c>
      <c r="K2632">
        <v>0.6696428571428571</v>
      </c>
      <c r="L2632">
        <v>2.2321428571428572</v>
      </c>
      <c r="M2632">
        <v>0.2</v>
      </c>
    </row>
    <row r="2633" spans="1:15" x14ac:dyDescent="0.25">
      <c r="A2633" s="8" t="s">
        <v>536</v>
      </c>
      <c r="B2633" s="1" t="s">
        <v>412</v>
      </c>
      <c r="C2633" s="1">
        <v>2018</v>
      </c>
      <c r="D2633" s="1">
        <v>3</v>
      </c>
      <c r="E2633" s="1">
        <v>3</v>
      </c>
      <c r="F2633" s="1">
        <v>3</v>
      </c>
      <c r="G2633" s="1">
        <v>0</v>
      </c>
      <c r="H2633" s="5">
        <v>2.09</v>
      </c>
      <c r="I2633" s="2">
        <f>100/96</f>
        <v>1.0416666666666667</v>
      </c>
      <c r="J2633" s="3">
        <v>431</v>
      </c>
      <c r="K2633">
        <v>0.6696428571428571</v>
      </c>
      <c r="L2633">
        <v>2.2321428571428572</v>
      </c>
      <c r="M2633">
        <v>0.2</v>
      </c>
    </row>
    <row r="2634" spans="1:15" x14ac:dyDescent="0.25">
      <c r="A2634" s="8" t="s">
        <v>537</v>
      </c>
      <c r="B2634" s="1" t="s">
        <v>412</v>
      </c>
      <c r="C2634" s="1">
        <v>2014</v>
      </c>
      <c r="D2634" s="1">
        <v>1</v>
      </c>
      <c r="E2634" s="1">
        <v>2</v>
      </c>
      <c r="F2634" s="1">
        <v>1.5</v>
      </c>
      <c r="G2634" s="1">
        <v>1</v>
      </c>
      <c r="H2634" s="5">
        <v>0.15</v>
      </c>
      <c r="I2634" s="2">
        <f>1/0.81</f>
        <v>1.2345679012345678</v>
      </c>
      <c r="J2634" s="3">
        <v>182385</v>
      </c>
      <c r="K2634">
        <v>1.4371785608024823</v>
      </c>
      <c r="L2634">
        <v>20.326645981213073</v>
      </c>
      <c r="M2634">
        <v>266.89999999999998</v>
      </c>
    </row>
    <row r="2635" spans="1:15" x14ac:dyDescent="0.25">
      <c r="A2635" s="8" t="s">
        <v>537</v>
      </c>
      <c r="B2635" s="1" t="s">
        <v>412</v>
      </c>
      <c r="C2635" s="1">
        <v>2015</v>
      </c>
      <c r="D2635" s="1">
        <v>1</v>
      </c>
      <c r="E2635" s="1">
        <v>2</v>
      </c>
      <c r="F2635" s="1">
        <v>1.5</v>
      </c>
      <c r="G2635" s="1">
        <v>1</v>
      </c>
      <c r="H2635" s="5">
        <v>0.31</v>
      </c>
      <c r="I2635" s="2">
        <f>1/0.79</f>
        <v>1.2658227848101264</v>
      </c>
      <c r="J2635" s="3">
        <v>188278</v>
      </c>
      <c r="K2635">
        <v>1.4371785608024823</v>
      </c>
      <c r="L2635">
        <v>20.326645981213073</v>
      </c>
      <c r="M2635">
        <v>275.60000000000002</v>
      </c>
    </row>
    <row r="2636" spans="1:15" x14ac:dyDescent="0.25">
      <c r="A2636" t="s">
        <v>537</v>
      </c>
      <c r="B2636" s="1" t="s">
        <v>412</v>
      </c>
      <c r="C2636" s="1">
        <v>2016</v>
      </c>
      <c r="D2636" s="1">
        <v>1</v>
      </c>
      <c r="E2636" s="1">
        <v>2</v>
      </c>
      <c r="F2636" s="1">
        <v>1.5</v>
      </c>
      <c r="G2636" s="1">
        <v>1</v>
      </c>
      <c r="H2636" s="5">
        <v>0.28000000000000003</v>
      </c>
      <c r="I2636" s="2">
        <f>1/0.92</f>
        <v>1.0869565217391304</v>
      </c>
      <c r="J2636" s="6">
        <v>188216</v>
      </c>
      <c r="K2636" s="7">
        <v>1.4371785608024823</v>
      </c>
      <c r="L2636" s="7">
        <v>20.326645981213073</v>
      </c>
      <c r="M2636">
        <v>285.10000000000002</v>
      </c>
      <c r="O2636" s="7"/>
    </row>
    <row r="2637" spans="1:15" x14ac:dyDescent="0.25">
      <c r="A2637" t="s">
        <v>537</v>
      </c>
      <c r="B2637" s="1" t="s">
        <v>412</v>
      </c>
      <c r="C2637" s="1">
        <v>2017</v>
      </c>
      <c r="D2637" s="1">
        <v>1</v>
      </c>
      <c r="E2637" s="1">
        <v>2</v>
      </c>
      <c r="F2637" s="1">
        <v>1.5</v>
      </c>
      <c r="G2637" s="1">
        <v>1</v>
      </c>
      <c r="H2637" s="5">
        <v>0.23</v>
      </c>
      <c r="I2637" s="2">
        <f>1/0.91</f>
        <v>1.0989010989010988</v>
      </c>
      <c r="J2637">
        <v>199212</v>
      </c>
      <c r="K2637">
        <v>1.4371785608024823</v>
      </c>
      <c r="L2637">
        <v>20.326645981213073</v>
      </c>
      <c r="M2637">
        <v>291.60000000000002</v>
      </c>
    </row>
    <row r="2638" spans="1:15" x14ac:dyDescent="0.25">
      <c r="A2638" s="8" t="s">
        <v>537</v>
      </c>
      <c r="B2638" s="1" t="s">
        <v>412</v>
      </c>
      <c r="C2638" s="1">
        <v>2018</v>
      </c>
      <c r="D2638" s="1">
        <v>1</v>
      </c>
      <c r="E2638" s="1">
        <v>2</v>
      </c>
      <c r="F2638" s="1">
        <v>1.5</v>
      </c>
      <c r="G2638" s="1">
        <v>1</v>
      </c>
      <c r="H2638" s="5">
        <v>0.34</v>
      </c>
      <c r="I2638" s="2">
        <f>1/0.89</f>
        <v>1.1235955056179776</v>
      </c>
      <c r="J2638" s="3">
        <v>203679</v>
      </c>
      <c r="K2638">
        <v>1.4371785608024823</v>
      </c>
      <c r="L2638">
        <v>20.326645981213073</v>
      </c>
      <c r="M2638">
        <v>298.10000000000002</v>
      </c>
    </row>
    <row r="2639" spans="1:15" x14ac:dyDescent="0.25">
      <c r="A2639" s="8" t="s">
        <v>538</v>
      </c>
      <c r="B2639" s="1" t="s">
        <v>412</v>
      </c>
      <c r="C2639" s="1">
        <v>2014</v>
      </c>
      <c r="D2639" s="1">
        <v>2</v>
      </c>
      <c r="E2639" s="1">
        <v>2</v>
      </c>
      <c r="F2639" s="1">
        <v>2</v>
      </c>
      <c r="G2639" s="1">
        <v>0</v>
      </c>
      <c r="H2639" s="5">
        <v>0.47</v>
      </c>
      <c r="I2639" s="2">
        <f>100/142</f>
        <v>0.70422535211267601</v>
      </c>
      <c r="J2639" s="3">
        <v>4057</v>
      </c>
      <c r="K2639">
        <v>2.5301204819277108</v>
      </c>
      <c r="L2639">
        <v>5.6144578313253017</v>
      </c>
      <c r="M2639">
        <v>4.9000000000000004</v>
      </c>
    </row>
    <row r="2640" spans="1:15" x14ac:dyDescent="0.25">
      <c r="A2640" s="8" t="s">
        <v>538</v>
      </c>
      <c r="B2640" s="1" t="s">
        <v>412</v>
      </c>
      <c r="C2640" s="1">
        <v>2015</v>
      </c>
      <c r="D2640" s="1">
        <v>2</v>
      </c>
      <c r="E2640" s="1">
        <v>2</v>
      </c>
      <c r="F2640" s="1">
        <v>2</v>
      </c>
      <c r="G2640" s="1">
        <v>0</v>
      </c>
      <c r="H2640" s="5">
        <v>0.44</v>
      </c>
      <c r="I2640" s="2">
        <f>100/133</f>
        <v>0.75187969924812026</v>
      </c>
      <c r="J2640" s="3">
        <v>4133</v>
      </c>
      <c r="K2640">
        <v>2.5301204819277108</v>
      </c>
      <c r="L2640">
        <v>5.6144578313253017</v>
      </c>
      <c r="M2640">
        <v>5</v>
      </c>
    </row>
    <row r="2641" spans="1:15" x14ac:dyDescent="0.25">
      <c r="A2641" t="s">
        <v>538</v>
      </c>
      <c r="B2641" s="1" t="s">
        <v>412</v>
      </c>
      <c r="C2641" s="1">
        <v>2016</v>
      </c>
      <c r="D2641" s="1">
        <v>2</v>
      </c>
      <c r="E2641" s="1">
        <v>2</v>
      </c>
      <c r="F2641" s="1">
        <v>2</v>
      </c>
      <c r="G2641" s="1">
        <v>0</v>
      </c>
      <c r="H2641" s="5">
        <v>0.67</v>
      </c>
      <c r="I2641" s="2">
        <f>100/161</f>
        <v>0.6211180124223602</v>
      </c>
      <c r="J2641" s="6">
        <v>4150</v>
      </c>
      <c r="K2641" s="7">
        <v>2.5301204819277108</v>
      </c>
      <c r="L2641" s="7">
        <v>5.6144578313253017</v>
      </c>
      <c r="M2641">
        <v>5</v>
      </c>
      <c r="O2641" s="7"/>
    </row>
    <row r="2642" spans="1:15" x14ac:dyDescent="0.25">
      <c r="A2642" t="s">
        <v>538</v>
      </c>
      <c r="B2642" s="1" t="s">
        <v>412</v>
      </c>
      <c r="C2642" s="1">
        <v>2017</v>
      </c>
      <c r="D2642" s="1">
        <v>2</v>
      </c>
      <c r="E2642" s="1">
        <v>2</v>
      </c>
      <c r="F2642" s="1">
        <v>2</v>
      </c>
      <c r="G2642" s="1">
        <v>0</v>
      </c>
      <c r="H2642" s="5">
        <v>0.5</v>
      </c>
      <c r="I2642" s="2">
        <f>100/135</f>
        <v>0.7407407407407407</v>
      </c>
      <c r="J2642">
        <v>4144</v>
      </c>
      <c r="K2642">
        <v>2.5301204819277108</v>
      </c>
      <c r="L2642">
        <v>5.6144578313253017</v>
      </c>
      <c r="M2642">
        <v>5</v>
      </c>
    </row>
    <row r="2643" spans="1:15" x14ac:dyDescent="0.25">
      <c r="A2643" s="8" t="s">
        <v>538</v>
      </c>
      <c r="B2643" s="1" t="s">
        <v>412</v>
      </c>
      <c r="C2643" s="1">
        <v>2018</v>
      </c>
      <c r="D2643" s="1">
        <v>2</v>
      </c>
      <c r="E2643" s="1">
        <v>2</v>
      </c>
      <c r="F2643" s="1">
        <v>2</v>
      </c>
      <c r="G2643" s="1">
        <v>0</v>
      </c>
      <c r="H2643" s="5">
        <v>0.53</v>
      </c>
      <c r="I2643" s="2">
        <f>100/149</f>
        <v>0.67114093959731547</v>
      </c>
      <c r="J2643" s="3">
        <v>4169</v>
      </c>
      <c r="K2643">
        <v>2.5301204819277108</v>
      </c>
      <c r="L2643">
        <v>5.6144578313253017</v>
      </c>
      <c r="M2643">
        <v>5</v>
      </c>
    </row>
    <row r="2644" spans="1:15" x14ac:dyDescent="0.25">
      <c r="A2644" s="8" t="s">
        <v>539</v>
      </c>
      <c r="B2644" s="1" t="s">
        <v>412</v>
      </c>
      <c r="C2644" s="1">
        <v>2014</v>
      </c>
      <c r="D2644" s="1">
        <v>3</v>
      </c>
      <c r="E2644" s="1">
        <v>3</v>
      </c>
      <c r="F2644" s="1">
        <v>3</v>
      </c>
      <c r="G2644" s="1">
        <v>0</v>
      </c>
      <c r="H2644" s="5">
        <v>1.1299999999999999</v>
      </c>
      <c r="I2644" s="2">
        <f>100/127</f>
        <v>0.78740157480314965</v>
      </c>
      <c r="J2644" s="3">
        <v>869</v>
      </c>
      <c r="K2644">
        <v>3.1</v>
      </c>
      <c r="L2644">
        <v>0.9</v>
      </c>
      <c r="M2644">
        <v>0.3</v>
      </c>
    </row>
    <row r="2645" spans="1:15" x14ac:dyDescent="0.25">
      <c r="A2645" s="8" t="s">
        <v>539</v>
      </c>
      <c r="B2645" s="1" t="s">
        <v>412</v>
      </c>
      <c r="C2645" s="1">
        <v>2015</v>
      </c>
      <c r="D2645" s="1">
        <v>3</v>
      </c>
      <c r="E2645" s="1">
        <v>3</v>
      </c>
      <c r="F2645" s="1">
        <v>3</v>
      </c>
      <c r="G2645" s="1">
        <v>0</v>
      </c>
      <c r="H2645" s="5">
        <v>1.24</v>
      </c>
      <c r="I2645" s="2">
        <f>100/92</f>
        <v>1.0869565217391304</v>
      </c>
      <c r="J2645" s="3">
        <v>855</v>
      </c>
      <c r="K2645">
        <v>3.1</v>
      </c>
      <c r="L2645">
        <v>0.9</v>
      </c>
      <c r="M2645">
        <v>0.3</v>
      </c>
    </row>
    <row r="2646" spans="1:15" x14ac:dyDescent="0.25">
      <c r="A2646" t="s">
        <v>539</v>
      </c>
      <c r="B2646" s="1" t="s">
        <v>412</v>
      </c>
      <c r="C2646" s="1">
        <v>2016</v>
      </c>
      <c r="D2646" s="1">
        <v>3</v>
      </c>
      <c r="E2646" s="1">
        <v>3</v>
      </c>
      <c r="F2646" s="1">
        <v>3</v>
      </c>
      <c r="G2646" s="1">
        <v>0</v>
      </c>
      <c r="H2646" s="5">
        <v>1.24</v>
      </c>
      <c r="I2646" s="2">
        <f>100/180</f>
        <v>0.55555555555555558</v>
      </c>
      <c r="J2646" s="6">
        <v>805</v>
      </c>
      <c r="K2646" s="11">
        <v>3.1</v>
      </c>
      <c r="L2646" s="11">
        <v>0.9</v>
      </c>
      <c r="M2646">
        <v>0.3</v>
      </c>
      <c r="O2646" s="7"/>
    </row>
    <row r="2647" spans="1:15" x14ac:dyDescent="0.25">
      <c r="A2647" t="s">
        <v>539</v>
      </c>
      <c r="B2647" s="1" t="s">
        <v>412</v>
      </c>
      <c r="C2647" s="1">
        <v>2017</v>
      </c>
      <c r="D2647" s="1">
        <v>3</v>
      </c>
      <c r="E2647" s="1">
        <v>3</v>
      </c>
      <c r="F2647" s="1">
        <v>3</v>
      </c>
      <c r="G2647" s="1">
        <v>0</v>
      </c>
      <c r="H2647" s="5">
        <v>1.0900000000000001</v>
      </c>
      <c r="I2647" s="2">
        <f>100/94</f>
        <v>1.0638297872340425</v>
      </c>
      <c r="J2647">
        <v>804</v>
      </c>
      <c r="K2647">
        <v>3.1</v>
      </c>
      <c r="L2647">
        <v>0.9</v>
      </c>
      <c r="M2647">
        <v>0.3</v>
      </c>
    </row>
    <row r="2648" spans="1:15" x14ac:dyDescent="0.25">
      <c r="A2648" s="8" t="s">
        <v>539</v>
      </c>
      <c r="B2648" s="1" t="s">
        <v>412</v>
      </c>
      <c r="C2648" s="1">
        <v>2018</v>
      </c>
      <c r="D2648" s="1">
        <v>3</v>
      </c>
      <c r="E2648" s="1">
        <v>3</v>
      </c>
      <c r="F2648" s="1">
        <v>3</v>
      </c>
      <c r="G2648" s="1">
        <v>0</v>
      </c>
      <c r="H2648" s="5">
        <v>0.84</v>
      </c>
      <c r="I2648" s="2">
        <f>100/114</f>
        <v>0.8771929824561403</v>
      </c>
      <c r="J2648" s="3">
        <v>798</v>
      </c>
      <c r="K2648">
        <v>3.1</v>
      </c>
      <c r="L2648">
        <v>0.9</v>
      </c>
      <c r="M2648">
        <v>0.3</v>
      </c>
    </row>
    <row r="2649" spans="1:15" x14ac:dyDescent="0.25">
      <c r="A2649" s="8" t="s">
        <v>540</v>
      </c>
      <c r="B2649" s="1" t="s">
        <v>412</v>
      </c>
      <c r="C2649" s="1">
        <v>2014</v>
      </c>
      <c r="D2649" s="1">
        <v>4</v>
      </c>
      <c r="E2649" s="1">
        <v>4</v>
      </c>
      <c r="F2649" s="1">
        <v>4</v>
      </c>
      <c r="G2649" s="1">
        <v>0</v>
      </c>
      <c r="H2649" s="5">
        <v>0.7</v>
      </c>
      <c r="I2649" s="2">
        <f>10/17</f>
        <v>0.58823529411764708</v>
      </c>
      <c r="J2649" s="3">
        <v>305</v>
      </c>
      <c r="K2649">
        <v>2.2801302931596092</v>
      </c>
      <c r="L2649">
        <v>6.1889250814332248</v>
      </c>
      <c r="M2649">
        <v>0.1</v>
      </c>
    </row>
    <row r="2650" spans="1:15" x14ac:dyDescent="0.25">
      <c r="A2650" s="8" t="s">
        <v>540</v>
      </c>
      <c r="B2650" s="1" t="s">
        <v>412</v>
      </c>
      <c r="C2650" s="1">
        <v>2015</v>
      </c>
      <c r="D2650" s="1">
        <v>4</v>
      </c>
      <c r="E2650" s="1">
        <v>4</v>
      </c>
      <c r="F2650" s="1">
        <v>4</v>
      </c>
      <c r="G2650" s="1">
        <v>0</v>
      </c>
      <c r="H2650" s="5">
        <v>0.86</v>
      </c>
      <c r="I2650" s="2">
        <f>100/66</f>
        <v>1.5151515151515151</v>
      </c>
      <c r="J2650" s="3">
        <v>306</v>
      </c>
      <c r="K2650">
        <v>2.2801302931596092</v>
      </c>
      <c r="L2650">
        <v>6.1889250814332248</v>
      </c>
      <c r="M2650">
        <v>0.1</v>
      </c>
    </row>
    <row r="2651" spans="1:15" x14ac:dyDescent="0.25">
      <c r="A2651" t="s">
        <v>540</v>
      </c>
      <c r="B2651" s="1" t="s">
        <v>412</v>
      </c>
      <c r="C2651" s="1">
        <v>2016</v>
      </c>
      <c r="D2651" s="1">
        <v>4</v>
      </c>
      <c r="E2651" s="1">
        <v>4</v>
      </c>
      <c r="F2651" s="1">
        <v>4</v>
      </c>
      <c r="G2651" s="1">
        <v>0</v>
      </c>
      <c r="H2651" s="5">
        <v>0.7</v>
      </c>
      <c r="I2651" s="2">
        <f>100/299</f>
        <v>0.33444816053511706</v>
      </c>
      <c r="J2651" s="6">
        <v>307</v>
      </c>
      <c r="K2651" s="7">
        <v>2.2801302931596092</v>
      </c>
      <c r="L2651" s="7">
        <v>6.1889250814332248</v>
      </c>
      <c r="M2651">
        <v>0.1</v>
      </c>
      <c r="O2651" s="7"/>
    </row>
    <row r="2652" spans="1:15" x14ac:dyDescent="0.25">
      <c r="A2652" t="s">
        <v>540</v>
      </c>
      <c r="B2652" s="1" t="s">
        <v>412</v>
      </c>
      <c r="C2652" s="1">
        <v>2017</v>
      </c>
      <c r="D2652" s="1">
        <v>4</v>
      </c>
      <c r="E2652" s="1">
        <v>4</v>
      </c>
      <c r="F2652" s="1">
        <v>4</v>
      </c>
      <c r="G2652" s="1">
        <v>0</v>
      </c>
      <c r="H2652" s="5">
        <v>1.65</v>
      </c>
      <c r="I2652" s="2">
        <f>100/92</f>
        <v>1.0869565217391304</v>
      </c>
      <c r="J2652">
        <v>310</v>
      </c>
      <c r="K2652">
        <v>2.2801302931596092</v>
      </c>
      <c r="L2652">
        <v>6.1889250814332248</v>
      </c>
      <c r="M2652">
        <v>0.1</v>
      </c>
    </row>
    <row r="2653" spans="1:15" x14ac:dyDescent="0.25">
      <c r="A2653" s="8" t="s">
        <v>540</v>
      </c>
      <c r="B2653" s="1" t="s">
        <v>412</v>
      </c>
      <c r="C2653" s="1">
        <v>2018</v>
      </c>
      <c r="D2653" s="1">
        <v>4</v>
      </c>
      <c r="E2653" s="1">
        <v>4</v>
      </c>
      <c r="F2653" s="1">
        <v>4</v>
      </c>
      <c r="G2653" s="1">
        <v>0</v>
      </c>
      <c r="H2653" s="5">
        <v>0.97</v>
      </c>
      <c r="I2653" s="2">
        <f>100/127</f>
        <v>0.78740157480314965</v>
      </c>
      <c r="J2653" s="3">
        <v>302</v>
      </c>
      <c r="K2653">
        <v>2.2801302931596092</v>
      </c>
      <c r="L2653">
        <v>6.1889250814332248</v>
      </c>
      <c r="M2653">
        <v>0.1</v>
      </c>
    </row>
    <row r="2654" spans="1:15" x14ac:dyDescent="0.25">
      <c r="A2654" s="8" t="s">
        <v>541</v>
      </c>
      <c r="B2654" s="1" t="s">
        <v>412</v>
      </c>
      <c r="C2654" s="1">
        <v>2014</v>
      </c>
      <c r="D2654" s="1">
        <v>3</v>
      </c>
      <c r="E2654" s="1">
        <v>4</v>
      </c>
      <c r="F2654" s="1">
        <v>3.5</v>
      </c>
      <c r="G2654" s="1">
        <v>1</v>
      </c>
      <c r="H2654" s="5">
        <v>1.47</v>
      </c>
      <c r="I2654" s="2">
        <f>100/186</f>
        <v>0.5376344086021505</v>
      </c>
      <c r="J2654" s="3">
        <v>744</v>
      </c>
      <c r="K2654">
        <v>3.3333333333333335</v>
      </c>
      <c r="L2654">
        <v>0.41666666666666669</v>
      </c>
      <c r="M2654">
        <v>0.4</v>
      </c>
    </row>
    <row r="2655" spans="1:15" x14ac:dyDescent="0.25">
      <c r="A2655" s="8" t="s">
        <v>541</v>
      </c>
      <c r="B2655" s="1" t="s">
        <v>412</v>
      </c>
      <c r="C2655" s="1">
        <v>2015</v>
      </c>
      <c r="D2655" s="1">
        <v>3</v>
      </c>
      <c r="E2655" s="1">
        <v>4</v>
      </c>
      <c r="F2655" s="1">
        <v>3.5</v>
      </c>
      <c r="G2655" s="1">
        <v>1</v>
      </c>
      <c r="H2655" s="5">
        <v>1.06</v>
      </c>
      <c r="I2655" s="2">
        <f>100/118</f>
        <v>0.84745762711864403</v>
      </c>
      <c r="J2655" s="3">
        <v>737</v>
      </c>
      <c r="K2655">
        <v>3.3333333333333335</v>
      </c>
      <c r="L2655">
        <v>0.41666666666666669</v>
      </c>
      <c r="M2655">
        <v>0.4</v>
      </c>
    </row>
    <row r="2656" spans="1:15" x14ac:dyDescent="0.25">
      <c r="A2656" t="s">
        <v>541</v>
      </c>
      <c r="B2656" s="1" t="s">
        <v>412</v>
      </c>
      <c r="C2656" s="1">
        <v>2016</v>
      </c>
      <c r="D2656" s="1">
        <v>3</v>
      </c>
      <c r="E2656" s="1">
        <v>4</v>
      </c>
      <c r="F2656" s="1">
        <v>3.5</v>
      </c>
      <c r="G2656" s="1">
        <v>1</v>
      </c>
      <c r="H2656" s="5">
        <v>0.44</v>
      </c>
      <c r="I2656" s="2">
        <f>100/330</f>
        <v>0.30303030303030304</v>
      </c>
      <c r="J2656" s="6">
        <v>720</v>
      </c>
      <c r="K2656" s="7">
        <v>3.3333333333333335</v>
      </c>
      <c r="L2656" s="7">
        <v>0.41666666666666669</v>
      </c>
      <c r="M2656">
        <v>0.4</v>
      </c>
      <c r="O2656" s="7"/>
    </row>
    <row r="2657" spans="1:15" x14ac:dyDescent="0.25">
      <c r="A2657" t="s">
        <v>541</v>
      </c>
      <c r="B2657" s="1" t="s">
        <v>412</v>
      </c>
      <c r="C2657" s="1">
        <v>2017</v>
      </c>
      <c r="D2657" s="1">
        <v>3</v>
      </c>
      <c r="E2657" s="1">
        <v>4</v>
      </c>
      <c r="F2657" s="1">
        <v>3.5</v>
      </c>
      <c r="G2657" s="1">
        <v>1</v>
      </c>
      <c r="H2657" s="5">
        <v>0.33</v>
      </c>
      <c r="I2657" s="2">
        <f>100/252</f>
        <v>0.3968253968253968</v>
      </c>
      <c r="J2657">
        <v>734</v>
      </c>
      <c r="K2657">
        <v>3.3333333333333335</v>
      </c>
      <c r="L2657">
        <v>0.41666666666666669</v>
      </c>
      <c r="M2657">
        <v>0.4</v>
      </c>
    </row>
    <row r="2658" spans="1:15" x14ac:dyDescent="0.25">
      <c r="A2658" s="8" t="s">
        <v>541</v>
      </c>
      <c r="B2658" s="1" t="s">
        <v>412</v>
      </c>
      <c r="C2658" s="1">
        <v>2018</v>
      </c>
      <c r="D2658" s="1">
        <v>3</v>
      </c>
      <c r="E2658" s="1">
        <v>4</v>
      </c>
      <c r="F2658" s="1">
        <v>3.5</v>
      </c>
      <c r="G2658" s="1">
        <v>1</v>
      </c>
      <c r="H2658" s="5">
        <v>0.53</v>
      </c>
      <c r="I2658" s="2">
        <f>5/13</f>
        <v>0.38461538461538464</v>
      </c>
      <c r="J2658" s="3">
        <v>730</v>
      </c>
      <c r="K2658">
        <v>3.3333333333333335</v>
      </c>
      <c r="L2658">
        <v>0.41666666666666669</v>
      </c>
      <c r="M2658">
        <v>0.4</v>
      </c>
    </row>
    <row r="2659" spans="1:15" x14ac:dyDescent="0.25">
      <c r="A2659" s="8" t="s">
        <v>542</v>
      </c>
      <c r="B2659" s="1" t="s">
        <v>412</v>
      </c>
      <c r="C2659" s="1">
        <v>2014</v>
      </c>
      <c r="D2659" s="1">
        <v>3</v>
      </c>
      <c r="E2659" s="1">
        <v>3</v>
      </c>
      <c r="F2659" s="1">
        <v>3</v>
      </c>
      <c r="G2659" s="1">
        <v>0</v>
      </c>
      <c r="H2659" s="5">
        <v>1.41</v>
      </c>
      <c r="I2659" s="2">
        <f>100/122</f>
        <v>0.81967213114754101</v>
      </c>
      <c r="J2659" s="3">
        <v>993</v>
      </c>
      <c r="K2659">
        <v>1.2257405515832482</v>
      </c>
      <c r="L2659">
        <v>1.634320735444331</v>
      </c>
      <c r="M2659">
        <v>0.4</v>
      </c>
    </row>
    <row r="2660" spans="1:15" x14ac:dyDescent="0.25">
      <c r="A2660" s="8" t="s">
        <v>542</v>
      </c>
      <c r="B2660" s="1" t="s">
        <v>412</v>
      </c>
      <c r="C2660" s="1">
        <v>2015</v>
      </c>
      <c r="D2660" s="1">
        <v>3</v>
      </c>
      <c r="E2660" s="1">
        <v>3</v>
      </c>
      <c r="F2660" s="1">
        <v>3</v>
      </c>
      <c r="G2660" s="1">
        <v>0</v>
      </c>
      <c r="H2660" s="5">
        <v>0.77</v>
      </c>
      <c r="I2660" s="2">
        <f>100/108</f>
        <v>0.92592592592592593</v>
      </c>
      <c r="J2660" s="3">
        <v>1005</v>
      </c>
      <c r="K2660">
        <v>1.2257405515832482</v>
      </c>
      <c r="L2660">
        <v>1.634320735444331</v>
      </c>
      <c r="M2660">
        <v>0.4</v>
      </c>
    </row>
    <row r="2661" spans="1:15" x14ac:dyDescent="0.25">
      <c r="A2661" t="s">
        <v>542</v>
      </c>
      <c r="B2661" s="1" t="s">
        <v>412</v>
      </c>
      <c r="C2661" s="1">
        <v>2016</v>
      </c>
      <c r="D2661" s="1">
        <v>3</v>
      </c>
      <c r="E2661" s="1">
        <v>3</v>
      </c>
      <c r="F2661" s="1">
        <v>3</v>
      </c>
      <c r="G2661" s="1">
        <v>0</v>
      </c>
      <c r="H2661" s="5">
        <v>0.37</v>
      </c>
      <c r="I2661" s="2">
        <f>100/147</f>
        <v>0.68027210884353739</v>
      </c>
      <c r="J2661" s="6">
        <v>979</v>
      </c>
      <c r="K2661" s="7">
        <v>1.2257405515832482</v>
      </c>
      <c r="L2661" s="7">
        <v>1.634320735444331</v>
      </c>
      <c r="M2661">
        <v>0.4</v>
      </c>
      <c r="O2661" s="7"/>
    </row>
    <row r="2662" spans="1:15" x14ac:dyDescent="0.25">
      <c r="A2662" t="s">
        <v>542</v>
      </c>
      <c r="B2662" s="1" t="s">
        <v>412</v>
      </c>
      <c r="C2662" s="1">
        <v>2017</v>
      </c>
      <c r="D2662" s="1">
        <v>3</v>
      </c>
      <c r="E2662" s="1">
        <v>3</v>
      </c>
      <c r="F2662" s="1">
        <v>3</v>
      </c>
      <c r="G2662" s="1">
        <v>0</v>
      </c>
      <c r="H2662" s="5">
        <v>0.49</v>
      </c>
      <c r="I2662" s="2">
        <f>100/128</f>
        <v>0.78125</v>
      </c>
      <c r="J2662">
        <v>1023</v>
      </c>
      <c r="K2662">
        <v>1.2257405515832482</v>
      </c>
      <c r="L2662">
        <v>1.634320735444331</v>
      </c>
      <c r="M2662">
        <v>0.4</v>
      </c>
    </row>
    <row r="2663" spans="1:15" x14ac:dyDescent="0.25">
      <c r="A2663" s="8" t="s">
        <v>542</v>
      </c>
      <c r="B2663" s="1" t="s">
        <v>412</v>
      </c>
      <c r="C2663" s="1">
        <v>2018</v>
      </c>
      <c r="D2663" s="1">
        <v>3</v>
      </c>
      <c r="E2663" s="1">
        <v>3</v>
      </c>
      <c r="F2663" s="1">
        <v>3</v>
      </c>
      <c r="G2663" s="1">
        <v>0</v>
      </c>
      <c r="H2663" s="5">
        <v>0.37</v>
      </c>
      <c r="I2663" s="2">
        <f>5/6</f>
        <v>0.83333333333333337</v>
      </c>
      <c r="J2663" s="3">
        <v>1024</v>
      </c>
      <c r="K2663">
        <v>1.2257405515832482</v>
      </c>
      <c r="L2663">
        <v>1.634320735444331</v>
      </c>
      <c r="M2663">
        <v>0.4</v>
      </c>
    </row>
    <row r="2664" spans="1:15" x14ac:dyDescent="0.25">
      <c r="A2664" s="8" t="s">
        <v>543</v>
      </c>
      <c r="B2664" s="1" t="s">
        <v>412</v>
      </c>
      <c r="C2664" s="1">
        <v>2014</v>
      </c>
      <c r="D2664" s="1">
        <v>5</v>
      </c>
      <c r="E2664" s="1">
        <v>5</v>
      </c>
      <c r="F2664" s="1">
        <v>5</v>
      </c>
      <c r="G2664" s="1">
        <v>0</v>
      </c>
      <c r="H2664" s="5">
        <v>1.8</v>
      </c>
      <c r="I2664" s="2">
        <f>100/104</f>
        <v>0.96153846153846156</v>
      </c>
      <c r="J2664" s="3">
        <v>1020</v>
      </c>
      <c r="K2664">
        <v>29.395973154362416</v>
      </c>
      <c r="L2664">
        <v>28.187919463087248</v>
      </c>
      <c r="M2664">
        <v>0</v>
      </c>
    </row>
    <row r="2665" spans="1:15" x14ac:dyDescent="0.25">
      <c r="A2665" s="8" t="s">
        <v>543</v>
      </c>
      <c r="B2665" s="1" t="s">
        <v>412</v>
      </c>
      <c r="C2665" s="1">
        <v>2015</v>
      </c>
      <c r="D2665" s="1">
        <v>5</v>
      </c>
      <c r="E2665" s="1">
        <v>5</v>
      </c>
      <c r="F2665" s="1">
        <v>5</v>
      </c>
      <c r="G2665" s="1">
        <v>0</v>
      </c>
      <c r="H2665" s="5">
        <v>0.17</v>
      </c>
      <c r="I2665" s="2">
        <f>100/85</f>
        <v>1.1764705882352942</v>
      </c>
      <c r="J2665" s="3">
        <v>894</v>
      </c>
      <c r="K2665">
        <v>29.395973154362416</v>
      </c>
      <c r="L2665">
        <v>28.187919463087248</v>
      </c>
      <c r="M2665">
        <v>0</v>
      </c>
    </row>
    <row r="2666" spans="1:15" x14ac:dyDescent="0.25">
      <c r="A2666" t="s">
        <v>543</v>
      </c>
      <c r="B2666" s="1" t="s">
        <v>412</v>
      </c>
      <c r="C2666" s="1">
        <v>2016</v>
      </c>
      <c r="D2666" s="1">
        <v>5</v>
      </c>
      <c r="E2666" s="1">
        <v>5</v>
      </c>
      <c r="F2666" s="1">
        <v>5</v>
      </c>
      <c r="G2666" s="1">
        <v>0</v>
      </c>
      <c r="H2666" s="5">
        <v>0.2</v>
      </c>
      <c r="I2666" s="2">
        <f>100/202</f>
        <v>0.49504950495049505</v>
      </c>
      <c r="J2666" s="6">
        <v>745</v>
      </c>
      <c r="K2666" s="7">
        <v>29.395973154362416</v>
      </c>
      <c r="L2666" s="7">
        <v>28.187919463087248</v>
      </c>
      <c r="M2666">
        <v>0</v>
      </c>
      <c r="O2666" s="7"/>
    </row>
    <row r="2667" spans="1:15" x14ac:dyDescent="0.25">
      <c r="A2667" t="s">
        <v>543</v>
      </c>
      <c r="B2667" s="1" t="s">
        <v>412</v>
      </c>
      <c r="C2667" s="1">
        <v>2017</v>
      </c>
      <c r="D2667" s="1">
        <v>5</v>
      </c>
      <c r="E2667" s="1">
        <v>5</v>
      </c>
      <c r="F2667" s="1">
        <v>5</v>
      </c>
      <c r="G2667" s="1">
        <v>0</v>
      </c>
      <c r="H2667" s="5">
        <v>0.11</v>
      </c>
      <c r="I2667" s="2">
        <f>100/64</f>
        <v>1.5625</v>
      </c>
      <c r="J2667">
        <v>731</v>
      </c>
      <c r="K2667">
        <v>29.395973154362416</v>
      </c>
      <c r="L2667">
        <v>28.187919463087248</v>
      </c>
      <c r="M2667">
        <v>0</v>
      </c>
    </row>
    <row r="2668" spans="1:15" x14ac:dyDescent="0.25">
      <c r="A2668" s="8" t="s">
        <v>543</v>
      </c>
      <c r="B2668" s="1" t="s">
        <v>412</v>
      </c>
      <c r="C2668" s="1">
        <v>2018</v>
      </c>
      <c r="D2668" s="1">
        <v>5</v>
      </c>
      <c r="E2668" s="1">
        <v>5</v>
      </c>
      <c r="F2668" s="1">
        <v>5</v>
      </c>
      <c r="G2668" s="1">
        <v>0</v>
      </c>
      <c r="H2668" s="5">
        <v>0.87</v>
      </c>
      <c r="I2668" s="2">
        <f>100/122</f>
        <v>0.81967213114754101</v>
      </c>
      <c r="J2668" s="3">
        <v>706</v>
      </c>
      <c r="K2668">
        <v>29.395973154362416</v>
      </c>
      <c r="L2668">
        <v>28.187919463087248</v>
      </c>
      <c r="M2668">
        <v>0</v>
      </c>
    </row>
    <row r="2669" spans="1:15" x14ac:dyDescent="0.25">
      <c r="A2669" s="8" t="s">
        <v>544</v>
      </c>
      <c r="B2669" s="1" t="s">
        <v>412</v>
      </c>
      <c r="C2669" s="1">
        <v>2014</v>
      </c>
      <c r="D2669" s="1">
        <v>3</v>
      </c>
      <c r="E2669" s="1">
        <v>4</v>
      </c>
      <c r="F2669" s="1">
        <v>3.5</v>
      </c>
      <c r="G2669" s="1">
        <v>1</v>
      </c>
      <c r="H2669" s="5">
        <v>0.87</v>
      </c>
      <c r="I2669" s="2">
        <f>100/137</f>
        <v>0.72992700729927007</v>
      </c>
      <c r="J2669" s="3">
        <v>1433</v>
      </c>
      <c r="K2669">
        <v>6.2968515742128934</v>
      </c>
      <c r="L2669">
        <v>3.8980509745127434</v>
      </c>
      <c r="M2669">
        <v>0.4</v>
      </c>
    </row>
    <row r="2670" spans="1:15" x14ac:dyDescent="0.25">
      <c r="A2670" s="8" t="s">
        <v>544</v>
      </c>
      <c r="B2670" s="1" t="s">
        <v>412</v>
      </c>
      <c r="C2670" s="1">
        <v>2015</v>
      </c>
      <c r="D2670" s="1">
        <v>3</v>
      </c>
      <c r="E2670" s="1">
        <v>4</v>
      </c>
      <c r="F2670" s="1">
        <v>3.5</v>
      </c>
      <c r="G2670" s="1">
        <v>1</v>
      </c>
      <c r="H2670" s="5">
        <v>0.52</v>
      </c>
      <c r="I2670" s="2">
        <f>100/77</f>
        <v>1.2987012987012987</v>
      </c>
      <c r="J2670" s="3">
        <v>1393</v>
      </c>
      <c r="K2670">
        <v>6.2968515742128934</v>
      </c>
      <c r="L2670">
        <v>3.8980509745127434</v>
      </c>
      <c r="M2670">
        <v>0.4</v>
      </c>
    </row>
    <row r="2671" spans="1:15" x14ac:dyDescent="0.25">
      <c r="A2671" t="s">
        <v>544</v>
      </c>
      <c r="B2671" s="1" t="s">
        <v>412</v>
      </c>
      <c r="C2671" s="1">
        <v>2016</v>
      </c>
      <c r="D2671" s="1">
        <v>3</v>
      </c>
      <c r="E2671" s="1">
        <v>4</v>
      </c>
      <c r="F2671" s="1">
        <v>3.5</v>
      </c>
      <c r="G2671" s="1">
        <v>1</v>
      </c>
      <c r="H2671" s="5">
        <v>1.63</v>
      </c>
      <c r="I2671" s="2">
        <f>100/138</f>
        <v>0.72463768115942029</v>
      </c>
      <c r="J2671" s="6">
        <v>1334</v>
      </c>
      <c r="K2671" s="7">
        <v>6.2968515742128934</v>
      </c>
      <c r="L2671" s="7">
        <v>3.8980509745127434</v>
      </c>
      <c r="M2671">
        <v>0.4</v>
      </c>
      <c r="O2671" s="7"/>
    </row>
    <row r="2672" spans="1:15" x14ac:dyDescent="0.25">
      <c r="A2672" t="s">
        <v>544</v>
      </c>
      <c r="B2672" s="1" t="s">
        <v>412</v>
      </c>
      <c r="C2672" s="1">
        <v>2017</v>
      </c>
      <c r="D2672" s="1">
        <v>3</v>
      </c>
      <c r="E2672" s="1">
        <v>4</v>
      </c>
      <c r="F2672" s="1">
        <v>3.5</v>
      </c>
      <c r="G2672" s="1">
        <v>1</v>
      </c>
      <c r="H2672" s="5">
        <v>1.39</v>
      </c>
      <c r="I2672" s="2">
        <f>100/94</f>
        <v>1.0638297872340425</v>
      </c>
      <c r="J2672">
        <v>1344</v>
      </c>
      <c r="K2672">
        <v>6.2968515742128934</v>
      </c>
      <c r="L2672">
        <v>3.8980509745127434</v>
      </c>
      <c r="M2672">
        <v>0.4</v>
      </c>
    </row>
    <row r="2673" spans="1:15" x14ac:dyDescent="0.25">
      <c r="A2673" s="8" t="s">
        <v>544</v>
      </c>
      <c r="B2673" s="1" t="s">
        <v>412</v>
      </c>
      <c r="C2673" s="1">
        <v>2018</v>
      </c>
      <c r="D2673" s="1">
        <v>3</v>
      </c>
      <c r="E2673" s="1">
        <v>4</v>
      </c>
      <c r="F2673" s="1">
        <v>3.5</v>
      </c>
      <c r="G2673" s="1">
        <v>1</v>
      </c>
      <c r="H2673" s="5">
        <v>2.0299999999999998</v>
      </c>
      <c r="I2673" s="2">
        <f>100/78</f>
        <v>1.2820512820512822</v>
      </c>
      <c r="J2673" s="3">
        <v>1299</v>
      </c>
      <c r="K2673">
        <v>6.2968515742128934</v>
      </c>
      <c r="L2673">
        <v>3.8980509745127434</v>
      </c>
      <c r="M2673">
        <v>0.4</v>
      </c>
    </row>
    <row r="2674" spans="1:15" x14ac:dyDescent="0.25">
      <c r="A2674" s="8" t="s">
        <v>545</v>
      </c>
      <c r="B2674" s="1" t="s">
        <v>412</v>
      </c>
      <c r="C2674" s="1">
        <v>2014</v>
      </c>
      <c r="D2674" s="1">
        <v>3</v>
      </c>
      <c r="E2674" s="1">
        <v>3</v>
      </c>
      <c r="F2674" s="1">
        <v>3</v>
      </c>
      <c r="G2674" s="1">
        <v>0</v>
      </c>
      <c r="H2674" s="5">
        <v>1.41</v>
      </c>
      <c r="I2674" s="2">
        <f>1/1.74</f>
        <v>0.57471264367816088</v>
      </c>
      <c r="J2674" s="3">
        <v>429</v>
      </c>
      <c r="K2674">
        <v>1.7114914425427872</v>
      </c>
      <c r="L2674">
        <v>2.2004889975550124</v>
      </c>
      <c r="M2674">
        <v>0.4</v>
      </c>
    </row>
    <row r="2675" spans="1:15" x14ac:dyDescent="0.25">
      <c r="A2675" s="8" t="s">
        <v>545</v>
      </c>
      <c r="B2675" s="1" t="s">
        <v>412</v>
      </c>
      <c r="C2675" s="1">
        <v>2015</v>
      </c>
      <c r="D2675" s="1">
        <v>3</v>
      </c>
      <c r="E2675" s="1">
        <v>3</v>
      </c>
      <c r="F2675" s="1">
        <v>3</v>
      </c>
      <c r="G2675" s="1">
        <v>0</v>
      </c>
      <c r="H2675" s="5">
        <v>0.8</v>
      </c>
      <c r="I2675" s="2">
        <f>10/29</f>
        <v>0.34482758620689657</v>
      </c>
      <c r="J2675" s="3">
        <v>423</v>
      </c>
      <c r="K2675">
        <v>1.7114914425427872</v>
      </c>
      <c r="L2675">
        <v>2.2004889975550124</v>
      </c>
      <c r="M2675">
        <v>0.4</v>
      </c>
    </row>
    <row r="2676" spans="1:15" x14ac:dyDescent="0.25">
      <c r="A2676" t="s">
        <v>545</v>
      </c>
      <c r="B2676" s="1" t="s">
        <v>412</v>
      </c>
      <c r="C2676" s="1">
        <v>2016</v>
      </c>
      <c r="D2676" s="1">
        <v>3</v>
      </c>
      <c r="E2676" s="1">
        <v>3</v>
      </c>
      <c r="F2676" s="1">
        <v>3</v>
      </c>
      <c r="G2676" s="1">
        <v>0</v>
      </c>
      <c r="H2676" s="5">
        <v>0.65</v>
      </c>
      <c r="I2676" s="2">
        <f>1/2.14</f>
        <v>0.46728971962616822</v>
      </c>
      <c r="J2676" s="6">
        <v>409</v>
      </c>
      <c r="K2676" s="7">
        <v>1.7114914425427872</v>
      </c>
      <c r="L2676" s="7">
        <v>2.2004889975550124</v>
      </c>
      <c r="M2676">
        <v>0.4</v>
      </c>
      <c r="O2676" s="7"/>
    </row>
    <row r="2677" spans="1:15" x14ac:dyDescent="0.25">
      <c r="A2677" t="s">
        <v>545</v>
      </c>
      <c r="B2677" s="1" t="s">
        <v>412</v>
      </c>
      <c r="C2677" s="1">
        <v>2017</v>
      </c>
      <c r="D2677" s="1">
        <v>3</v>
      </c>
      <c r="E2677" s="1">
        <v>3</v>
      </c>
      <c r="F2677" s="1">
        <v>3</v>
      </c>
      <c r="G2677" s="1">
        <v>0</v>
      </c>
      <c r="H2677" s="5">
        <v>0.6</v>
      </c>
      <c r="I2677" s="2">
        <f>1/2.44</f>
        <v>0.4098360655737705</v>
      </c>
      <c r="J2677">
        <v>426</v>
      </c>
      <c r="K2677">
        <v>1.7114914425427872</v>
      </c>
      <c r="L2677">
        <v>2.2004889975550124</v>
      </c>
      <c r="M2677">
        <v>0.4</v>
      </c>
    </row>
    <row r="2678" spans="1:15" x14ac:dyDescent="0.25">
      <c r="A2678" s="8" t="s">
        <v>545</v>
      </c>
      <c r="B2678" s="1" t="s">
        <v>412</v>
      </c>
      <c r="C2678" s="1">
        <v>2018</v>
      </c>
      <c r="D2678" s="1">
        <v>3</v>
      </c>
      <c r="E2678" s="1">
        <v>3</v>
      </c>
      <c r="F2678" s="1">
        <v>3</v>
      </c>
      <c r="G2678" s="1">
        <v>0</v>
      </c>
      <c r="H2678" s="5">
        <v>0.7</v>
      </c>
      <c r="I2678" s="2">
        <f>1/1.17</f>
        <v>0.85470085470085477</v>
      </c>
      <c r="J2678" s="3">
        <v>428</v>
      </c>
      <c r="K2678">
        <v>1.7114914425427872</v>
      </c>
      <c r="L2678">
        <v>2.2004889975550124</v>
      </c>
      <c r="M2678">
        <v>0.4</v>
      </c>
    </row>
    <row r="2679" spans="1:15" x14ac:dyDescent="0.25">
      <c r="A2679" s="8" t="s">
        <v>546</v>
      </c>
      <c r="B2679" s="1" t="s">
        <v>412</v>
      </c>
      <c r="C2679" s="1">
        <v>2014</v>
      </c>
      <c r="D2679" s="1">
        <v>3</v>
      </c>
      <c r="E2679" s="1">
        <v>3</v>
      </c>
      <c r="F2679" s="1">
        <v>3</v>
      </c>
      <c r="G2679" s="1">
        <v>0</v>
      </c>
      <c r="H2679" s="5">
        <v>0.85</v>
      </c>
      <c r="I2679" s="2">
        <f>1/1.54</f>
        <v>0.64935064935064934</v>
      </c>
      <c r="J2679" s="3">
        <v>535</v>
      </c>
      <c r="K2679">
        <v>1.1741682974559686</v>
      </c>
      <c r="L2679">
        <v>2.152641878669276</v>
      </c>
      <c r="M2679">
        <v>0.3</v>
      </c>
    </row>
    <row r="2680" spans="1:15" x14ac:dyDescent="0.25">
      <c r="A2680" s="8" t="s">
        <v>546</v>
      </c>
      <c r="B2680" s="1" t="s">
        <v>412</v>
      </c>
      <c r="C2680" s="1">
        <v>2015</v>
      </c>
      <c r="D2680" s="1">
        <v>3</v>
      </c>
      <c r="E2680" s="1">
        <v>3</v>
      </c>
      <c r="F2680" s="1">
        <v>3</v>
      </c>
      <c r="G2680" s="1">
        <v>0</v>
      </c>
      <c r="H2680" s="5">
        <v>1.03</v>
      </c>
      <c r="I2680" s="2">
        <f>1/0.46</f>
        <v>2.1739130434782608</v>
      </c>
      <c r="J2680" s="3">
        <v>533</v>
      </c>
      <c r="K2680">
        <v>1.1741682974559686</v>
      </c>
      <c r="L2680">
        <v>2.152641878669276</v>
      </c>
      <c r="M2680">
        <v>0.3</v>
      </c>
    </row>
    <row r="2681" spans="1:15" x14ac:dyDescent="0.25">
      <c r="A2681" t="s">
        <v>546</v>
      </c>
      <c r="B2681" s="1" t="s">
        <v>412</v>
      </c>
      <c r="C2681" s="1">
        <v>2016</v>
      </c>
      <c r="D2681" s="1">
        <v>3</v>
      </c>
      <c r="E2681" s="1">
        <v>3</v>
      </c>
      <c r="F2681" s="1">
        <v>3</v>
      </c>
      <c r="G2681" s="1">
        <v>0</v>
      </c>
      <c r="H2681" s="5">
        <v>1.64</v>
      </c>
      <c r="I2681" s="2">
        <f>1/0.72</f>
        <v>1.3888888888888888</v>
      </c>
      <c r="J2681" s="6">
        <v>511</v>
      </c>
      <c r="K2681" s="7">
        <v>1.1741682974559686</v>
      </c>
      <c r="L2681" s="7">
        <v>2.152641878669276</v>
      </c>
      <c r="M2681">
        <v>0.3</v>
      </c>
      <c r="O2681" s="7"/>
    </row>
    <row r="2682" spans="1:15" x14ac:dyDescent="0.25">
      <c r="A2682" t="s">
        <v>546</v>
      </c>
      <c r="B2682" s="1" t="s">
        <v>412</v>
      </c>
      <c r="C2682" s="1">
        <v>2017</v>
      </c>
      <c r="D2682" s="1">
        <v>3</v>
      </c>
      <c r="E2682" s="1">
        <v>3</v>
      </c>
      <c r="F2682" s="1">
        <v>3</v>
      </c>
      <c r="G2682" s="1">
        <v>0</v>
      </c>
      <c r="H2682" s="5">
        <v>1.23</v>
      </c>
      <c r="I2682" s="2">
        <f>100/66</f>
        <v>1.5151515151515151</v>
      </c>
      <c r="J2682">
        <v>515</v>
      </c>
      <c r="K2682">
        <v>1.1741682974559686</v>
      </c>
      <c r="L2682">
        <v>2.152641878669276</v>
      </c>
      <c r="M2682">
        <v>0.3</v>
      </c>
    </row>
    <row r="2683" spans="1:15" x14ac:dyDescent="0.25">
      <c r="A2683" s="8" t="s">
        <v>546</v>
      </c>
      <c r="B2683" s="1" t="s">
        <v>412</v>
      </c>
      <c r="C2683" s="1">
        <v>2018</v>
      </c>
      <c r="D2683" s="1">
        <v>3</v>
      </c>
      <c r="E2683" s="1">
        <v>3</v>
      </c>
      <c r="F2683" s="1">
        <v>3</v>
      </c>
      <c r="G2683" s="1">
        <v>0</v>
      </c>
      <c r="H2683" s="5">
        <v>1.1399999999999999</v>
      </c>
      <c r="I2683" s="2">
        <f>10/19</f>
        <v>0.52631578947368418</v>
      </c>
      <c r="J2683" s="3">
        <v>498</v>
      </c>
      <c r="K2683">
        <v>1.1741682974559686</v>
      </c>
      <c r="L2683">
        <v>2.152641878669276</v>
      </c>
      <c r="M2683">
        <v>0.3</v>
      </c>
    </row>
    <row r="2684" spans="1:15" x14ac:dyDescent="0.25">
      <c r="A2684" s="8" t="s">
        <v>547</v>
      </c>
      <c r="B2684" s="1" t="s">
        <v>412</v>
      </c>
      <c r="C2684" s="1">
        <v>2014</v>
      </c>
      <c r="D2684" s="1">
        <v>5</v>
      </c>
      <c r="E2684" s="1">
        <v>5</v>
      </c>
      <c r="F2684" s="1">
        <v>5</v>
      </c>
      <c r="G2684" s="1">
        <v>0</v>
      </c>
      <c r="H2684" s="5">
        <v>0.47</v>
      </c>
      <c r="I2684" s="2">
        <f>1/1.61</f>
        <v>0.6211180124223602</v>
      </c>
      <c r="J2684" s="3">
        <v>8020</v>
      </c>
      <c r="K2684">
        <v>32.620246085011182</v>
      </c>
      <c r="L2684">
        <v>11.675055928411632</v>
      </c>
      <c r="M2684">
        <v>0.1</v>
      </c>
    </row>
    <row r="2685" spans="1:15" x14ac:dyDescent="0.25">
      <c r="A2685" s="8" t="s">
        <v>547</v>
      </c>
      <c r="B2685" s="1" t="s">
        <v>412</v>
      </c>
      <c r="C2685" s="1">
        <v>2015</v>
      </c>
      <c r="D2685" s="1">
        <v>5</v>
      </c>
      <c r="E2685" s="1">
        <v>5</v>
      </c>
      <c r="F2685" s="1">
        <v>5</v>
      </c>
      <c r="G2685" s="1">
        <v>0</v>
      </c>
      <c r="H2685" s="5">
        <v>1.1599999999999999</v>
      </c>
      <c r="I2685" s="2">
        <f>1/0.93</f>
        <v>1.075268817204301</v>
      </c>
      <c r="J2685" s="3">
        <v>7780</v>
      </c>
      <c r="K2685">
        <v>32.620246085011182</v>
      </c>
      <c r="L2685">
        <v>11.675055928411632</v>
      </c>
      <c r="M2685">
        <v>0.1</v>
      </c>
    </row>
    <row r="2686" spans="1:15" x14ac:dyDescent="0.25">
      <c r="A2686" t="s">
        <v>547</v>
      </c>
      <c r="B2686" s="1" t="s">
        <v>412</v>
      </c>
      <c r="C2686" s="1">
        <v>2016</v>
      </c>
      <c r="D2686" s="1">
        <v>5</v>
      </c>
      <c r="E2686" s="1">
        <v>5</v>
      </c>
      <c r="F2686" s="1">
        <v>5</v>
      </c>
      <c r="G2686" s="1">
        <v>0</v>
      </c>
      <c r="H2686" s="5">
        <v>0.53</v>
      </c>
      <c r="I2686" s="2">
        <f>1/1.27</f>
        <v>0.78740157480314954</v>
      </c>
      <c r="J2686" s="6">
        <v>7152</v>
      </c>
      <c r="K2686" s="7">
        <v>32.620246085011182</v>
      </c>
      <c r="L2686" s="7">
        <v>11.675055928411632</v>
      </c>
      <c r="M2686">
        <v>0.1</v>
      </c>
      <c r="O2686" s="7"/>
    </row>
    <row r="2687" spans="1:15" x14ac:dyDescent="0.25">
      <c r="A2687" t="s">
        <v>547</v>
      </c>
      <c r="B2687" s="1" t="s">
        <v>412</v>
      </c>
      <c r="C2687" s="1">
        <v>2017</v>
      </c>
      <c r="D2687" s="1">
        <v>5</v>
      </c>
      <c r="E2687" s="1">
        <v>5</v>
      </c>
      <c r="F2687" s="1">
        <v>5</v>
      </c>
      <c r="G2687" s="1">
        <v>0</v>
      </c>
      <c r="H2687" s="5">
        <v>0.31</v>
      </c>
      <c r="I2687" s="2">
        <f>1/0.98</f>
        <v>1.0204081632653061</v>
      </c>
      <c r="J2687">
        <v>7412</v>
      </c>
      <c r="K2687">
        <v>32.620246085011182</v>
      </c>
      <c r="L2687">
        <v>11.675055928411632</v>
      </c>
      <c r="M2687">
        <v>0.1</v>
      </c>
    </row>
    <row r="2688" spans="1:15" x14ac:dyDescent="0.25">
      <c r="A2688" s="8" t="s">
        <v>547</v>
      </c>
      <c r="B2688" s="1" t="s">
        <v>412</v>
      </c>
      <c r="C2688" s="1">
        <v>2018</v>
      </c>
      <c r="D2688" s="1">
        <v>5</v>
      </c>
      <c r="E2688" s="1">
        <v>5</v>
      </c>
      <c r="F2688" s="1">
        <v>5</v>
      </c>
      <c r="G2688" s="1">
        <v>0</v>
      </c>
      <c r="H2688" s="5">
        <v>1.61</v>
      </c>
      <c r="I2688" s="2">
        <f>1/1.1</f>
        <v>0.90909090909090906</v>
      </c>
      <c r="J2688" s="3">
        <v>7317</v>
      </c>
      <c r="K2688">
        <v>32.620246085011182</v>
      </c>
      <c r="L2688">
        <v>11.675055928411632</v>
      </c>
      <c r="M2688">
        <v>0.1</v>
      </c>
    </row>
    <row r="2689" spans="1:15" x14ac:dyDescent="0.25">
      <c r="A2689" s="8" t="s">
        <v>548</v>
      </c>
      <c r="B2689" s="1" t="s">
        <v>412</v>
      </c>
      <c r="C2689" s="1">
        <v>2014</v>
      </c>
      <c r="D2689" s="1">
        <v>4</v>
      </c>
      <c r="E2689" s="1">
        <v>4</v>
      </c>
      <c r="F2689" s="1">
        <v>4</v>
      </c>
      <c r="G2689" s="1">
        <v>0</v>
      </c>
      <c r="H2689" s="5">
        <v>0.56000000000000005</v>
      </c>
      <c r="I2689" s="2">
        <f>5/6</f>
        <v>0.83333333333333337</v>
      </c>
      <c r="J2689" s="3">
        <v>405</v>
      </c>
      <c r="K2689">
        <v>22.485207100591715</v>
      </c>
      <c r="L2689">
        <v>0.8875739644970414</v>
      </c>
      <c r="M2689">
        <v>0</v>
      </c>
    </row>
    <row r="2690" spans="1:15" x14ac:dyDescent="0.25">
      <c r="A2690" s="8" t="s">
        <v>548</v>
      </c>
      <c r="B2690" s="1" t="s">
        <v>412</v>
      </c>
      <c r="C2690" s="1">
        <v>2015</v>
      </c>
      <c r="D2690" s="1">
        <v>4</v>
      </c>
      <c r="E2690" s="1">
        <v>4</v>
      </c>
      <c r="F2690" s="1">
        <v>4</v>
      </c>
      <c r="G2690" s="1">
        <v>0</v>
      </c>
      <c r="H2690" s="5">
        <v>0.13</v>
      </c>
      <c r="I2690" s="2">
        <f>4/3</f>
        <v>1.3333333333333333</v>
      </c>
      <c r="J2690" s="3">
        <v>378</v>
      </c>
      <c r="K2690">
        <v>22.485207100591715</v>
      </c>
      <c r="L2690">
        <v>0.8875739644970414</v>
      </c>
      <c r="M2690">
        <v>0</v>
      </c>
    </row>
    <row r="2691" spans="1:15" x14ac:dyDescent="0.25">
      <c r="A2691" t="s">
        <v>548</v>
      </c>
      <c r="B2691" s="1" t="s">
        <v>412</v>
      </c>
      <c r="C2691" s="1">
        <v>2016</v>
      </c>
      <c r="D2691" s="1">
        <v>4</v>
      </c>
      <c r="E2691" s="1">
        <v>4</v>
      </c>
      <c r="F2691" s="1">
        <v>4</v>
      </c>
      <c r="G2691" s="1">
        <v>0</v>
      </c>
      <c r="H2691" s="5">
        <v>0.36</v>
      </c>
      <c r="I2691" s="5">
        <v>0.5</v>
      </c>
      <c r="J2691" s="6">
        <v>338</v>
      </c>
      <c r="K2691" s="7">
        <v>22.485207100591715</v>
      </c>
      <c r="L2691" s="7">
        <v>0.8875739644970414</v>
      </c>
      <c r="M2691">
        <v>0</v>
      </c>
      <c r="O2691" s="7"/>
    </row>
    <row r="2692" spans="1:15" x14ac:dyDescent="0.25">
      <c r="A2692" t="s">
        <v>548</v>
      </c>
      <c r="B2692" s="1" t="s">
        <v>412</v>
      </c>
      <c r="C2692" s="1">
        <v>2017</v>
      </c>
      <c r="D2692" s="1">
        <v>4</v>
      </c>
      <c r="E2692" s="1">
        <v>4</v>
      </c>
      <c r="F2692" s="1">
        <v>4</v>
      </c>
      <c r="G2692" s="1">
        <v>0</v>
      </c>
      <c r="H2692" s="5">
        <v>0.86</v>
      </c>
      <c r="I2692" s="5">
        <v>12.5</v>
      </c>
      <c r="J2692">
        <v>356</v>
      </c>
      <c r="K2692">
        <v>22.485207100591715</v>
      </c>
      <c r="L2692">
        <v>0.8875739644970414</v>
      </c>
      <c r="M2692">
        <v>0</v>
      </c>
    </row>
    <row r="2693" spans="1:15" x14ac:dyDescent="0.25">
      <c r="A2693" s="8" t="s">
        <v>548</v>
      </c>
      <c r="B2693" s="1" t="s">
        <v>412</v>
      </c>
      <c r="C2693" s="1">
        <v>2018</v>
      </c>
      <c r="D2693" s="1">
        <v>4</v>
      </c>
      <c r="E2693" s="1">
        <v>4</v>
      </c>
      <c r="F2693" s="1">
        <v>4</v>
      </c>
      <c r="G2693" s="1">
        <v>0</v>
      </c>
      <c r="H2693" s="5">
        <v>0.28000000000000003</v>
      </c>
      <c r="I2693" s="2">
        <f>25/26</f>
        <v>0.96153846153846156</v>
      </c>
      <c r="J2693" s="3">
        <v>357</v>
      </c>
      <c r="K2693">
        <v>22.485207100591715</v>
      </c>
      <c r="L2693">
        <v>0.8875739644970414</v>
      </c>
      <c r="M2693">
        <v>0</v>
      </c>
    </row>
    <row r="2694" spans="1:15" x14ac:dyDescent="0.25">
      <c r="A2694" s="8" t="s">
        <v>549</v>
      </c>
      <c r="B2694" s="1" t="s">
        <v>412</v>
      </c>
      <c r="C2694" s="1">
        <v>2014</v>
      </c>
      <c r="D2694" s="1">
        <v>4</v>
      </c>
      <c r="E2694" s="1">
        <v>4</v>
      </c>
      <c r="F2694" s="1">
        <v>4</v>
      </c>
      <c r="G2694" s="1">
        <v>0</v>
      </c>
      <c r="H2694" s="5">
        <v>0.66</v>
      </c>
      <c r="I2694" s="2">
        <f>100/146</f>
        <v>0.68493150684931503</v>
      </c>
      <c r="J2694" s="3">
        <v>1426</v>
      </c>
      <c r="K2694">
        <v>3.1640299750208163</v>
      </c>
      <c r="L2694">
        <v>3.5803497085761866</v>
      </c>
      <c r="M2694">
        <v>0</v>
      </c>
    </row>
    <row r="2695" spans="1:15" x14ac:dyDescent="0.25">
      <c r="A2695" s="8" t="s">
        <v>549</v>
      </c>
      <c r="B2695" s="1" t="s">
        <v>412</v>
      </c>
      <c r="C2695" s="1">
        <v>2015</v>
      </c>
      <c r="D2695" s="1">
        <v>4</v>
      </c>
      <c r="E2695" s="1">
        <v>4</v>
      </c>
      <c r="F2695" s="1">
        <v>4</v>
      </c>
      <c r="G2695" s="1">
        <v>0</v>
      </c>
      <c r="H2695" s="5">
        <v>0.61</v>
      </c>
      <c r="I2695" s="2">
        <f>100/129</f>
        <v>0.77519379844961245</v>
      </c>
      <c r="J2695" s="3">
        <v>1314</v>
      </c>
      <c r="K2695">
        <v>3.1640299750208163</v>
      </c>
      <c r="L2695">
        <v>3.5803497085761866</v>
      </c>
      <c r="M2695">
        <v>0</v>
      </c>
    </row>
    <row r="2696" spans="1:15" x14ac:dyDescent="0.25">
      <c r="A2696" t="s">
        <v>549</v>
      </c>
      <c r="B2696" s="1" t="s">
        <v>412</v>
      </c>
      <c r="C2696" s="1">
        <v>2016</v>
      </c>
      <c r="D2696" s="1">
        <v>4</v>
      </c>
      <c r="E2696" s="1">
        <v>4</v>
      </c>
      <c r="F2696" s="1">
        <v>4</v>
      </c>
      <c r="G2696" s="1">
        <v>0</v>
      </c>
      <c r="H2696" s="5">
        <v>0.72</v>
      </c>
      <c r="I2696" s="2">
        <f>100/162</f>
        <v>0.61728395061728392</v>
      </c>
      <c r="J2696" s="6">
        <v>1201</v>
      </c>
      <c r="K2696" s="7">
        <v>3.1640299750208163</v>
      </c>
      <c r="L2696" s="7">
        <v>3.5803497085761866</v>
      </c>
      <c r="M2696">
        <v>0</v>
      </c>
      <c r="O2696" s="7"/>
    </row>
    <row r="2697" spans="1:15" x14ac:dyDescent="0.25">
      <c r="A2697" t="s">
        <v>549</v>
      </c>
      <c r="B2697" s="1" t="s">
        <v>412</v>
      </c>
      <c r="C2697" s="1">
        <v>2017</v>
      </c>
      <c r="D2697" s="1">
        <v>4</v>
      </c>
      <c r="E2697" s="1">
        <v>4</v>
      </c>
      <c r="F2697" s="1">
        <v>4</v>
      </c>
      <c r="G2697" s="1">
        <v>0</v>
      </c>
      <c r="H2697" s="5">
        <v>0.71</v>
      </c>
      <c r="I2697" s="2">
        <f>100/131</f>
        <v>0.76335877862595425</v>
      </c>
      <c r="J2697">
        <v>1195</v>
      </c>
      <c r="K2697">
        <v>3.1640299750208163</v>
      </c>
      <c r="L2697">
        <v>3.5803497085761866</v>
      </c>
      <c r="M2697">
        <v>0</v>
      </c>
    </row>
    <row r="2698" spans="1:15" x14ac:dyDescent="0.25">
      <c r="A2698" s="8" t="s">
        <v>549</v>
      </c>
      <c r="B2698" s="1" t="s">
        <v>412</v>
      </c>
      <c r="C2698" s="1">
        <v>2018</v>
      </c>
      <c r="D2698" s="1">
        <v>4</v>
      </c>
      <c r="E2698" s="1">
        <v>4</v>
      </c>
      <c r="F2698" s="1">
        <v>4</v>
      </c>
      <c r="G2698" s="1">
        <v>0</v>
      </c>
      <c r="H2698" s="5">
        <v>0.49</v>
      </c>
      <c r="I2698" s="2">
        <f>10/17</f>
        <v>0.58823529411764708</v>
      </c>
      <c r="J2698" s="3">
        <v>1169</v>
      </c>
      <c r="K2698">
        <v>3.1640299750208163</v>
      </c>
      <c r="L2698">
        <v>3.5803497085761866</v>
      </c>
      <c r="M2698">
        <v>0</v>
      </c>
    </row>
    <row r="2699" spans="1:15" x14ac:dyDescent="0.25">
      <c r="A2699" s="8" t="s">
        <v>550</v>
      </c>
      <c r="B2699" s="1" t="s">
        <v>412</v>
      </c>
      <c r="C2699" s="1">
        <v>2014</v>
      </c>
      <c r="D2699" s="1">
        <v>2</v>
      </c>
      <c r="E2699" s="1">
        <v>2</v>
      </c>
      <c r="F2699" s="1">
        <v>2</v>
      </c>
      <c r="G2699" s="1">
        <v>0</v>
      </c>
      <c r="H2699" s="5">
        <v>0.53</v>
      </c>
      <c r="I2699" s="2">
        <f>100/123</f>
        <v>0.81300813008130079</v>
      </c>
      <c r="J2699" s="3">
        <v>3609</v>
      </c>
      <c r="K2699">
        <v>3.135405105438402</v>
      </c>
      <c r="L2699">
        <v>2.0810210876803552</v>
      </c>
      <c r="M2699">
        <v>1.7</v>
      </c>
    </row>
    <row r="2700" spans="1:15" x14ac:dyDescent="0.25">
      <c r="A2700" s="8" t="s">
        <v>550</v>
      </c>
      <c r="B2700" s="1" t="s">
        <v>412</v>
      </c>
      <c r="C2700" s="1">
        <v>2015</v>
      </c>
      <c r="D2700" s="1">
        <v>2</v>
      </c>
      <c r="E2700" s="1">
        <v>2</v>
      </c>
      <c r="F2700" s="1">
        <v>2</v>
      </c>
      <c r="G2700" s="1">
        <v>0</v>
      </c>
      <c r="H2700" s="5">
        <v>0.43</v>
      </c>
      <c r="I2700" s="2">
        <f>100/106</f>
        <v>0.94339622641509435</v>
      </c>
      <c r="J2700" s="3">
        <v>3599</v>
      </c>
      <c r="K2700">
        <v>3.135405105438402</v>
      </c>
      <c r="L2700">
        <v>2.0810210876803552</v>
      </c>
      <c r="M2700">
        <v>1.7</v>
      </c>
    </row>
    <row r="2701" spans="1:15" x14ac:dyDescent="0.25">
      <c r="A2701" t="s">
        <v>550</v>
      </c>
      <c r="B2701" s="1" t="s">
        <v>412</v>
      </c>
      <c r="C2701" s="1">
        <v>2016</v>
      </c>
      <c r="D2701" s="1">
        <v>2</v>
      </c>
      <c r="E2701" s="1">
        <v>2</v>
      </c>
      <c r="F2701" s="1">
        <v>2</v>
      </c>
      <c r="G2701" s="1">
        <v>0</v>
      </c>
      <c r="H2701" s="5">
        <v>0.5</v>
      </c>
      <c r="I2701" s="2">
        <f>100/129</f>
        <v>0.77519379844961245</v>
      </c>
      <c r="J2701" s="6">
        <v>3604</v>
      </c>
      <c r="K2701" s="7">
        <v>3.135405105438402</v>
      </c>
      <c r="L2701" s="7">
        <v>2.0810210876803552</v>
      </c>
      <c r="M2701">
        <v>1.7</v>
      </c>
      <c r="O2701" s="7"/>
    </row>
    <row r="2702" spans="1:15" x14ac:dyDescent="0.25">
      <c r="A2702" t="s">
        <v>550</v>
      </c>
      <c r="B2702" s="1" t="s">
        <v>412</v>
      </c>
      <c r="C2702" s="1">
        <v>2017</v>
      </c>
      <c r="D2702" s="1">
        <v>2</v>
      </c>
      <c r="E2702" s="1">
        <v>2</v>
      </c>
      <c r="F2702" s="1">
        <v>2</v>
      </c>
      <c r="G2702" s="1">
        <v>0</v>
      </c>
      <c r="H2702" s="5">
        <v>1.1100000000000001</v>
      </c>
      <c r="I2702" s="2">
        <f>100/96</f>
        <v>1.0416666666666667</v>
      </c>
      <c r="J2702">
        <v>3608</v>
      </c>
      <c r="K2702">
        <v>3.135405105438402</v>
      </c>
      <c r="L2702">
        <v>2.0810210876803552</v>
      </c>
      <c r="M2702">
        <v>1.7</v>
      </c>
    </row>
    <row r="2703" spans="1:15" x14ac:dyDescent="0.25">
      <c r="A2703" s="8" t="s">
        <v>550</v>
      </c>
      <c r="B2703" s="1" t="s">
        <v>412</v>
      </c>
      <c r="C2703" s="1">
        <v>2018</v>
      </c>
      <c r="D2703" s="1">
        <v>2</v>
      </c>
      <c r="E2703" s="1">
        <v>2</v>
      </c>
      <c r="F2703" s="1">
        <v>2</v>
      </c>
      <c r="G2703" s="1">
        <v>0</v>
      </c>
      <c r="H2703" s="5">
        <v>0.83</v>
      </c>
      <c r="I2703" s="2">
        <f>100/112</f>
        <v>0.8928571428571429</v>
      </c>
      <c r="J2703" s="3">
        <v>3591</v>
      </c>
      <c r="K2703">
        <v>3.135405105438402</v>
      </c>
      <c r="L2703">
        <v>2.0810210876803552</v>
      </c>
      <c r="M2703">
        <v>1.7</v>
      </c>
    </row>
    <row r="2704" spans="1:15" x14ac:dyDescent="0.25">
      <c r="A2704" s="8"/>
    </row>
    <row r="2705" spans="1:1" x14ac:dyDescent="0.25">
      <c r="A2705" s="8"/>
    </row>
    <row r="2706" spans="1:1" x14ac:dyDescent="0.25">
      <c r="A2706" s="8"/>
    </row>
    <row r="2707" spans="1:1" x14ac:dyDescent="0.25">
      <c r="A2707" s="8"/>
    </row>
    <row r="2708" spans="1:1" x14ac:dyDescent="0.25">
      <c r="A2708" s="8"/>
    </row>
    <row r="2709" spans="1:1" x14ac:dyDescent="0.25">
      <c r="A2709" s="8"/>
    </row>
    <row r="2710" spans="1:1" x14ac:dyDescent="0.25">
      <c r="A2710" s="8"/>
    </row>
    <row r="2711" spans="1:1" x14ac:dyDescent="0.25">
      <c r="A2711" s="8"/>
    </row>
    <row r="2712" spans="1:1" x14ac:dyDescent="0.25">
      <c r="A2712" s="8"/>
    </row>
    <row r="2713" spans="1:1" x14ac:dyDescent="0.25">
      <c r="A2713" s="8"/>
    </row>
    <row r="2714" spans="1:1" x14ac:dyDescent="0.25">
      <c r="A2714" s="8"/>
    </row>
    <row r="2715" spans="1:1" x14ac:dyDescent="0.25">
      <c r="A2715" s="8"/>
    </row>
    <row r="2716" spans="1:1" x14ac:dyDescent="0.25">
      <c r="A2716" s="8"/>
    </row>
    <row r="2717" spans="1:1" x14ac:dyDescent="0.25">
      <c r="A2717" s="8"/>
    </row>
    <row r="2718" spans="1:1" x14ac:dyDescent="0.25">
      <c r="A2718" s="8"/>
    </row>
    <row r="2719" spans="1:1" x14ac:dyDescent="0.25">
      <c r="A2719" s="8"/>
    </row>
    <row r="2720" spans="1:1" x14ac:dyDescent="0.25">
      <c r="A2720" s="8"/>
    </row>
    <row r="2721" spans="1:1" x14ac:dyDescent="0.25">
      <c r="A2721" s="8"/>
    </row>
    <row r="2722" spans="1:1" x14ac:dyDescent="0.25">
      <c r="A2722" s="8"/>
    </row>
    <row r="2723" spans="1:1" x14ac:dyDescent="0.25">
      <c r="A2723" s="8"/>
    </row>
    <row r="2724" spans="1:1" x14ac:dyDescent="0.25">
      <c r="A2724" s="8"/>
    </row>
    <row r="2725" spans="1:1" x14ac:dyDescent="0.25">
      <c r="A2725" s="8"/>
    </row>
    <row r="2726" spans="1:1" x14ac:dyDescent="0.25">
      <c r="A2726" s="8"/>
    </row>
    <row r="2727" spans="1:1" x14ac:dyDescent="0.25">
      <c r="A2727" s="8"/>
    </row>
    <row r="2728" spans="1:1" x14ac:dyDescent="0.25">
      <c r="A2728" s="8"/>
    </row>
    <row r="2729" spans="1:1" x14ac:dyDescent="0.25">
      <c r="A2729" s="8"/>
    </row>
    <row r="2730" spans="1:1" x14ac:dyDescent="0.25">
      <c r="A2730" s="8"/>
    </row>
    <row r="2731" spans="1:1" x14ac:dyDescent="0.25">
      <c r="A2731" s="8"/>
    </row>
    <row r="2732" spans="1:1" x14ac:dyDescent="0.25">
      <c r="A2732" s="8"/>
    </row>
    <row r="2733" spans="1:1" x14ac:dyDescent="0.25">
      <c r="A2733" s="8"/>
    </row>
    <row r="2734" spans="1:1" x14ac:dyDescent="0.25">
      <c r="A2734" s="8"/>
    </row>
    <row r="2735" spans="1:1" x14ac:dyDescent="0.25">
      <c r="A2735" s="8"/>
    </row>
    <row r="2736" spans="1:1" x14ac:dyDescent="0.25">
      <c r="A2736" s="8"/>
    </row>
    <row r="2737" spans="1:1" x14ac:dyDescent="0.25">
      <c r="A2737" s="8"/>
    </row>
    <row r="2738" spans="1:1" x14ac:dyDescent="0.25">
      <c r="A2738" s="8"/>
    </row>
    <row r="2739" spans="1:1" x14ac:dyDescent="0.25">
      <c r="A2739" s="8"/>
    </row>
    <row r="2740" spans="1:1" x14ac:dyDescent="0.25">
      <c r="A2740" s="8"/>
    </row>
    <row r="2741" spans="1:1" x14ac:dyDescent="0.25">
      <c r="A2741" s="8"/>
    </row>
    <row r="2742" spans="1:1" x14ac:dyDescent="0.25">
      <c r="A2742" s="8"/>
    </row>
    <row r="2743" spans="1:1" x14ac:dyDescent="0.25">
      <c r="A2743" s="8"/>
    </row>
    <row r="2744" spans="1:1" x14ac:dyDescent="0.25">
      <c r="A2744" s="8"/>
    </row>
    <row r="2745" spans="1:1" x14ac:dyDescent="0.25">
      <c r="A2745" s="8"/>
    </row>
    <row r="2746" spans="1:1" x14ac:dyDescent="0.25">
      <c r="A2746" s="8"/>
    </row>
    <row r="2747" spans="1:1" x14ac:dyDescent="0.25">
      <c r="A2747" s="8"/>
    </row>
    <row r="2748" spans="1:1" x14ac:dyDescent="0.25">
      <c r="A2748" s="8"/>
    </row>
    <row r="2749" spans="1:1" x14ac:dyDescent="0.25">
      <c r="A2749" s="8"/>
    </row>
    <row r="2750" spans="1:1" x14ac:dyDescent="0.25">
      <c r="A2750" s="8"/>
    </row>
    <row r="2751" spans="1:1" x14ac:dyDescent="0.25">
      <c r="A2751" s="8"/>
    </row>
    <row r="2752" spans="1:1" x14ac:dyDescent="0.25">
      <c r="A2752" s="8"/>
    </row>
    <row r="2753" spans="1:1" x14ac:dyDescent="0.25">
      <c r="A2753" s="8"/>
    </row>
    <row r="2754" spans="1:1" x14ac:dyDescent="0.25">
      <c r="A2754" s="8"/>
    </row>
    <row r="2755" spans="1:1" x14ac:dyDescent="0.25">
      <c r="A2755" s="8"/>
    </row>
    <row r="2756" spans="1:1" x14ac:dyDescent="0.25">
      <c r="A2756" s="8"/>
    </row>
    <row r="2757" spans="1:1" x14ac:dyDescent="0.25">
      <c r="A2757" s="8"/>
    </row>
    <row r="2758" spans="1:1" x14ac:dyDescent="0.25">
      <c r="A2758" s="8"/>
    </row>
    <row r="2759" spans="1:1" x14ac:dyDescent="0.25">
      <c r="A2759" s="8"/>
    </row>
    <row r="2760" spans="1:1" x14ac:dyDescent="0.25">
      <c r="A2760" s="8"/>
    </row>
    <row r="2761" spans="1:1" x14ac:dyDescent="0.25">
      <c r="A2761" s="8"/>
    </row>
    <row r="2762" spans="1:1" x14ac:dyDescent="0.25">
      <c r="A2762" s="8"/>
    </row>
    <row r="2763" spans="1:1" x14ac:dyDescent="0.25">
      <c r="A2763" s="8"/>
    </row>
    <row r="2764" spans="1:1" x14ac:dyDescent="0.25">
      <c r="A2764" s="8"/>
    </row>
    <row r="2765" spans="1:1" x14ac:dyDescent="0.25">
      <c r="A2765" s="8"/>
    </row>
    <row r="2766" spans="1:1" x14ac:dyDescent="0.25">
      <c r="A2766" s="8"/>
    </row>
    <row r="2767" spans="1:1" x14ac:dyDescent="0.25">
      <c r="A2767" s="8"/>
    </row>
    <row r="2768" spans="1:1" x14ac:dyDescent="0.25">
      <c r="A2768" s="8"/>
    </row>
    <row r="2769" spans="1:1" x14ac:dyDescent="0.25">
      <c r="A2769" s="8"/>
    </row>
    <row r="2770" spans="1:1" x14ac:dyDescent="0.25">
      <c r="A2770" s="8"/>
    </row>
    <row r="2771" spans="1:1" x14ac:dyDescent="0.25">
      <c r="A2771" s="8"/>
    </row>
    <row r="2772" spans="1:1" x14ac:dyDescent="0.25">
      <c r="A2772" s="8"/>
    </row>
    <row r="2773" spans="1:1" x14ac:dyDescent="0.25">
      <c r="A2773" s="8"/>
    </row>
    <row r="2774" spans="1:1" x14ac:dyDescent="0.25">
      <c r="A2774" s="8"/>
    </row>
    <row r="2775" spans="1:1" x14ac:dyDescent="0.25">
      <c r="A2775" s="8"/>
    </row>
    <row r="2776" spans="1:1" x14ac:dyDescent="0.25">
      <c r="A2776" s="8"/>
    </row>
    <row r="2777" spans="1:1" x14ac:dyDescent="0.25">
      <c r="A2777" s="8"/>
    </row>
    <row r="2778" spans="1:1" x14ac:dyDescent="0.25">
      <c r="A2778" s="8"/>
    </row>
    <row r="2779" spans="1:1" x14ac:dyDescent="0.25">
      <c r="A2779" s="8"/>
    </row>
    <row r="2780" spans="1:1" x14ac:dyDescent="0.25">
      <c r="A2780" s="8"/>
    </row>
    <row r="2781" spans="1:1" x14ac:dyDescent="0.25">
      <c r="A2781" s="8"/>
    </row>
    <row r="2782" spans="1:1" x14ac:dyDescent="0.25">
      <c r="A2782" s="8"/>
    </row>
    <row r="2783" spans="1:1" x14ac:dyDescent="0.25">
      <c r="A2783" s="8"/>
    </row>
    <row r="2784" spans="1:1" x14ac:dyDescent="0.25">
      <c r="A2784" s="8"/>
    </row>
    <row r="2785" spans="1:1" x14ac:dyDescent="0.25">
      <c r="A2785" s="8"/>
    </row>
    <row r="2786" spans="1:1" x14ac:dyDescent="0.25">
      <c r="A2786" s="8"/>
    </row>
    <row r="2787" spans="1:1" x14ac:dyDescent="0.25">
      <c r="A2787" s="8"/>
    </row>
    <row r="2788" spans="1:1" x14ac:dyDescent="0.25">
      <c r="A2788" s="8"/>
    </row>
    <row r="2789" spans="1:1" x14ac:dyDescent="0.25">
      <c r="A2789" s="8"/>
    </row>
    <row r="2790" spans="1:1" x14ac:dyDescent="0.25">
      <c r="A2790" s="8"/>
    </row>
    <row r="2791" spans="1:1" x14ac:dyDescent="0.25">
      <c r="A2791" s="8"/>
    </row>
    <row r="2792" spans="1:1" x14ac:dyDescent="0.25">
      <c r="A2792" s="8"/>
    </row>
    <row r="2793" spans="1:1" x14ac:dyDescent="0.25">
      <c r="A2793" s="8"/>
    </row>
    <row r="2794" spans="1:1" x14ac:dyDescent="0.25">
      <c r="A2794" s="8"/>
    </row>
    <row r="2795" spans="1:1" x14ac:dyDescent="0.25">
      <c r="A2795" s="8"/>
    </row>
    <row r="2796" spans="1:1" x14ac:dyDescent="0.25">
      <c r="A2796" s="8"/>
    </row>
    <row r="2797" spans="1:1" x14ac:dyDescent="0.25">
      <c r="A2797" s="8"/>
    </row>
    <row r="2798" spans="1:1" x14ac:dyDescent="0.25">
      <c r="A2798" s="8"/>
    </row>
    <row r="2799" spans="1:1" x14ac:dyDescent="0.25">
      <c r="A2799" s="8"/>
    </row>
    <row r="2800" spans="1:1" x14ac:dyDescent="0.25">
      <c r="A2800" s="8"/>
    </row>
    <row r="2801" spans="1:1" x14ac:dyDescent="0.25">
      <c r="A2801" s="8"/>
    </row>
    <row r="2802" spans="1:1" x14ac:dyDescent="0.25">
      <c r="A2802" s="8"/>
    </row>
    <row r="2803" spans="1:1" x14ac:dyDescent="0.25">
      <c r="A2803" s="8"/>
    </row>
    <row r="2804" spans="1:1" x14ac:dyDescent="0.25">
      <c r="A2804" s="8"/>
    </row>
    <row r="2805" spans="1:1" x14ac:dyDescent="0.25">
      <c r="A2805" s="8"/>
    </row>
    <row r="2806" spans="1:1" x14ac:dyDescent="0.25">
      <c r="A2806" s="8"/>
    </row>
    <row r="2807" spans="1:1" x14ac:dyDescent="0.25">
      <c r="A2807" s="8"/>
    </row>
    <row r="2808" spans="1:1" x14ac:dyDescent="0.25">
      <c r="A2808" s="8"/>
    </row>
    <row r="2809" spans="1:1" x14ac:dyDescent="0.25">
      <c r="A2809" s="8"/>
    </row>
    <row r="2810" spans="1:1" x14ac:dyDescent="0.25">
      <c r="A2810" s="8"/>
    </row>
    <row r="2811" spans="1:1" x14ac:dyDescent="0.25">
      <c r="A2811" s="8"/>
    </row>
    <row r="2812" spans="1:1" x14ac:dyDescent="0.25">
      <c r="A2812" s="8"/>
    </row>
    <row r="2813" spans="1:1" x14ac:dyDescent="0.25">
      <c r="A2813" s="8"/>
    </row>
    <row r="2814" spans="1:1" x14ac:dyDescent="0.25">
      <c r="A2814" s="8"/>
    </row>
    <row r="2815" spans="1:1" x14ac:dyDescent="0.25">
      <c r="A2815" s="8"/>
    </row>
    <row r="2816" spans="1:1" x14ac:dyDescent="0.25">
      <c r="A2816" s="8"/>
    </row>
    <row r="2817" spans="1:1" x14ac:dyDescent="0.25">
      <c r="A2817" s="8"/>
    </row>
    <row r="2818" spans="1:1" x14ac:dyDescent="0.25">
      <c r="A2818" s="8"/>
    </row>
    <row r="2819" spans="1:1" x14ac:dyDescent="0.25">
      <c r="A2819" s="8"/>
    </row>
    <row r="2820" spans="1:1" x14ac:dyDescent="0.25">
      <c r="A2820" s="8"/>
    </row>
    <row r="2821" spans="1:1" x14ac:dyDescent="0.25">
      <c r="A2821" s="8"/>
    </row>
    <row r="2822" spans="1:1" x14ac:dyDescent="0.25">
      <c r="A2822" s="8"/>
    </row>
    <row r="2823" spans="1:1" x14ac:dyDescent="0.25">
      <c r="A2823" s="8"/>
    </row>
    <row r="2824" spans="1:1" x14ac:dyDescent="0.25">
      <c r="A2824" s="8"/>
    </row>
    <row r="2825" spans="1:1" x14ac:dyDescent="0.25">
      <c r="A2825" s="8"/>
    </row>
    <row r="2826" spans="1:1" x14ac:dyDescent="0.25">
      <c r="A2826" s="8"/>
    </row>
    <row r="2827" spans="1:1" x14ac:dyDescent="0.25">
      <c r="A2827" s="8"/>
    </row>
    <row r="2828" spans="1:1" x14ac:dyDescent="0.25">
      <c r="A2828" s="8"/>
    </row>
    <row r="2829" spans="1:1" x14ac:dyDescent="0.25">
      <c r="A2829" s="8"/>
    </row>
    <row r="2830" spans="1:1" x14ac:dyDescent="0.25">
      <c r="A2830" s="8"/>
    </row>
    <row r="2831" spans="1:1" x14ac:dyDescent="0.25">
      <c r="A2831" s="8"/>
    </row>
    <row r="2832" spans="1:1" x14ac:dyDescent="0.25">
      <c r="A2832" s="8"/>
    </row>
    <row r="2833" spans="1:1" x14ac:dyDescent="0.25">
      <c r="A2833" s="8"/>
    </row>
    <row r="2834" spans="1:1" x14ac:dyDescent="0.25">
      <c r="A2834" s="8"/>
    </row>
    <row r="2835" spans="1:1" x14ac:dyDescent="0.25">
      <c r="A2835" s="8"/>
    </row>
    <row r="2836" spans="1:1" x14ac:dyDescent="0.25">
      <c r="A2836" s="8"/>
    </row>
    <row r="2837" spans="1:1" x14ac:dyDescent="0.25">
      <c r="A2837" s="8"/>
    </row>
    <row r="2838" spans="1:1" x14ac:dyDescent="0.25">
      <c r="A2838" s="8"/>
    </row>
    <row r="2839" spans="1:1" x14ac:dyDescent="0.25">
      <c r="A2839" s="8"/>
    </row>
    <row r="2840" spans="1:1" x14ac:dyDescent="0.25">
      <c r="A2840" s="8"/>
    </row>
    <row r="2841" spans="1:1" x14ac:dyDescent="0.25">
      <c r="A2841" s="8"/>
    </row>
    <row r="2842" spans="1:1" x14ac:dyDescent="0.25">
      <c r="A2842" s="8"/>
    </row>
    <row r="2843" spans="1:1" x14ac:dyDescent="0.25">
      <c r="A2843" s="8"/>
    </row>
    <row r="2844" spans="1:1" x14ac:dyDescent="0.25">
      <c r="A2844" s="8"/>
    </row>
    <row r="2845" spans="1:1" x14ac:dyDescent="0.25">
      <c r="A2845" s="8"/>
    </row>
    <row r="2846" spans="1:1" x14ac:dyDescent="0.25">
      <c r="A2846" s="8"/>
    </row>
    <row r="2847" spans="1:1" x14ac:dyDescent="0.25">
      <c r="A2847" s="8"/>
    </row>
    <row r="2848" spans="1:1" x14ac:dyDescent="0.25">
      <c r="A2848" s="8"/>
    </row>
    <row r="2849" spans="1:1" x14ac:dyDescent="0.25">
      <c r="A2849" s="8"/>
    </row>
    <row r="2850" spans="1:1" x14ac:dyDescent="0.25">
      <c r="A2850" s="8"/>
    </row>
    <row r="2851" spans="1:1" x14ac:dyDescent="0.25">
      <c r="A2851" s="8"/>
    </row>
    <row r="2852" spans="1:1" x14ac:dyDescent="0.25">
      <c r="A2852" s="8"/>
    </row>
    <row r="2853" spans="1:1" x14ac:dyDescent="0.25">
      <c r="A2853" s="8"/>
    </row>
    <row r="2854" spans="1:1" x14ac:dyDescent="0.25">
      <c r="A2854" s="8"/>
    </row>
    <row r="2855" spans="1:1" x14ac:dyDescent="0.25">
      <c r="A2855" s="8"/>
    </row>
    <row r="2856" spans="1:1" x14ac:dyDescent="0.25">
      <c r="A2856" s="8"/>
    </row>
    <row r="2857" spans="1:1" x14ac:dyDescent="0.25">
      <c r="A2857" s="8"/>
    </row>
    <row r="2858" spans="1:1" x14ac:dyDescent="0.25">
      <c r="A2858" s="8"/>
    </row>
    <row r="2859" spans="1:1" x14ac:dyDescent="0.25">
      <c r="A2859" s="8"/>
    </row>
    <row r="2860" spans="1:1" x14ac:dyDescent="0.25">
      <c r="A2860" s="8"/>
    </row>
    <row r="2861" spans="1:1" x14ac:dyDescent="0.25">
      <c r="A2861" s="8"/>
    </row>
    <row r="2862" spans="1:1" x14ac:dyDescent="0.25">
      <c r="A2862" s="8"/>
    </row>
    <row r="2863" spans="1:1" x14ac:dyDescent="0.25">
      <c r="A2863" s="8"/>
    </row>
    <row r="2864" spans="1:1" x14ac:dyDescent="0.25">
      <c r="A2864" s="8"/>
    </row>
    <row r="2865" spans="1:1" x14ac:dyDescent="0.25">
      <c r="A2865" s="8"/>
    </row>
    <row r="2866" spans="1:1" x14ac:dyDescent="0.25">
      <c r="A2866" s="8"/>
    </row>
    <row r="2867" spans="1:1" x14ac:dyDescent="0.25">
      <c r="A2867" s="8"/>
    </row>
    <row r="2868" spans="1:1" x14ac:dyDescent="0.25">
      <c r="A2868" s="8"/>
    </row>
    <row r="2869" spans="1:1" x14ac:dyDescent="0.25">
      <c r="A2869" s="8"/>
    </row>
    <row r="2870" spans="1:1" x14ac:dyDescent="0.25">
      <c r="A2870" s="8"/>
    </row>
    <row r="2871" spans="1:1" x14ac:dyDescent="0.25">
      <c r="A2871" s="8"/>
    </row>
    <row r="2872" spans="1:1" x14ac:dyDescent="0.25">
      <c r="A2872" s="8"/>
    </row>
    <row r="2873" spans="1:1" x14ac:dyDescent="0.25">
      <c r="A2873" s="8"/>
    </row>
    <row r="2874" spans="1:1" x14ac:dyDescent="0.25">
      <c r="A2874" s="8"/>
    </row>
    <row r="2875" spans="1:1" x14ac:dyDescent="0.25">
      <c r="A2875" s="8"/>
    </row>
    <row r="2876" spans="1:1" x14ac:dyDescent="0.25">
      <c r="A2876" s="8"/>
    </row>
    <row r="2877" spans="1:1" x14ac:dyDescent="0.25">
      <c r="A2877" s="8"/>
    </row>
    <row r="2878" spans="1:1" x14ac:dyDescent="0.25">
      <c r="A2878" s="8"/>
    </row>
    <row r="2879" spans="1:1" x14ac:dyDescent="0.25">
      <c r="A2879" s="8"/>
    </row>
    <row r="2880" spans="1:1" x14ac:dyDescent="0.25">
      <c r="A2880" s="8"/>
    </row>
    <row r="2881" spans="1:1" x14ac:dyDescent="0.25">
      <c r="A2881" s="8"/>
    </row>
    <row r="2882" spans="1:1" x14ac:dyDescent="0.25">
      <c r="A2882" s="8"/>
    </row>
    <row r="2883" spans="1:1" x14ac:dyDescent="0.25">
      <c r="A2883" s="8"/>
    </row>
    <row r="2884" spans="1:1" x14ac:dyDescent="0.25">
      <c r="A2884" s="8"/>
    </row>
    <row r="2885" spans="1:1" x14ac:dyDescent="0.25">
      <c r="A2885" s="8"/>
    </row>
    <row r="2886" spans="1:1" x14ac:dyDescent="0.25">
      <c r="A2886" s="8"/>
    </row>
    <row r="2887" spans="1:1" x14ac:dyDescent="0.25">
      <c r="A2887" s="8"/>
    </row>
    <row r="2888" spans="1:1" x14ac:dyDescent="0.25">
      <c r="A2888" s="8"/>
    </row>
    <row r="2889" spans="1:1" x14ac:dyDescent="0.25">
      <c r="A2889" s="8"/>
    </row>
    <row r="2890" spans="1:1" x14ac:dyDescent="0.25">
      <c r="A2890" s="8"/>
    </row>
    <row r="2891" spans="1:1" x14ac:dyDescent="0.25">
      <c r="A2891" s="8"/>
    </row>
    <row r="2892" spans="1:1" x14ac:dyDescent="0.25">
      <c r="A2892" s="8"/>
    </row>
    <row r="2893" spans="1:1" x14ac:dyDescent="0.25">
      <c r="A2893" s="8"/>
    </row>
    <row r="2894" spans="1:1" x14ac:dyDescent="0.25">
      <c r="A2894" s="8"/>
    </row>
    <row r="2895" spans="1:1" x14ac:dyDescent="0.25">
      <c r="A2895" s="8"/>
    </row>
    <row r="2896" spans="1:1" x14ac:dyDescent="0.25">
      <c r="A2896" s="8"/>
    </row>
    <row r="2897" spans="1:1" x14ac:dyDescent="0.25">
      <c r="A2897" s="8"/>
    </row>
    <row r="2898" spans="1:1" x14ac:dyDescent="0.25">
      <c r="A2898" s="8"/>
    </row>
    <row r="2899" spans="1:1" x14ac:dyDescent="0.25">
      <c r="A2899" s="8"/>
    </row>
    <row r="2900" spans="1:1" x14ac:dyDescent="0.25">
      <c r="A2900" s="8"/>
    </row>
    <row r="2901" spans="1:1" x14ac:dyDescent="0.25">
      <c r="A2901" s="8"/>
    </row>
    <row r="2902" spans="1:1" x14ac:dyDescent="0.25">
      <c r="A2902" s="8"/>
    </row>
    <row r="2903" spans="1:1" x14ac:dyDescent="0.25">
      <c r="A2903" s="8"/>
    </row>
    <row r="2904" spans="1:1" x14ac:dyDescent="0.25">
      <c r="A2904" s="8"/>
    </row>
    <row r="2905" spans="1:1" x14ac:dyDescent="0.25">
      <c r="A2905" s="8"/>
    </row>
    <row r="2906" spans="1:1" x14ac:dyDescent="0.25">
      <c r="A2906" s="8"/>
    </row>
    <row r="2907" spans="1:1" x14ac:dyDescent="0.25">
      <c r="A2907" s="8"/>
    </row>
    <row r="2908" spans="1:1" x14ac:dyDescent="0.25">
      <c r="A2908" s="8"/>
    </row>
    <row r="2909" spans="1:1" x14ac:dyDescent="0.25">
      <c r="A2909" s="8"/>
    </row>
    <row r="2910" spans="1:1" x14ac:dyDescent="0.25">
      <c r="A2910" s="8"/>
    </row>
    <row r="2911" spans="1:1" x14ac:dyDescent="0.25">
      <c r="A2911" s="8"/>
    </row>
    <row r="2912" spans="1:1" x14ac:dyDescent="0.25">
      <c r="A2912" s="8"/>
    </row>
    <row r="2913" spans="1:1" x14ac:dyDescent="0.25">
      <c r="A2913" s="8"/>
    </row>
    <row r="2914" spans="1:1" x14ac:dyDescent="0.25">
      <c r="A2914" s="8"/>
    </row>
    <row r="2915" spans="1:1" x14ac:dyDescent="0.25">
      <c r="A2915" s="8"/>
    </row>
    <row r="2916" spans="1:1" x14ac:dyDescent="0.25">
      <c r="A2916" s="8"/>
    </row>
    <row r="2917" spans="1:1" x14ac:dyDescent="0.25">
      <c r="A2917" s="8"/>
    </row>
    <row r="2918" spans="1:1" x14ac:dyDescent="0.25">
      <c r="A2918" s="8"/>
    </row>
    <row r="2919" spans="1:1" x14ac:dyDescent="0.25">
      <c r="A2919" s="8"/>
    </row>
    <row r="2920" spans="1:1" x14ac:dyDescent="0.25">
      <c r="A2920" s="8"/>
    </row>
    <row r="2921" spans="1:1" x14ac:dyDescent="0.25">
      <c r="A2921" s="8"/>
    </row>
    <row r="2922" spans="1:1" x14ac:dyDescent="0.25">
      <c r="A2922" s="8"/>
    </row>
    <row r="2923" spans="1:1" x14ac:dyDescent="0.25">
      <c r="A2923" s="8"/>
    </row>
    <row r="2924" spans="1:1" x14ac:dyDescent="0.25">
      <c r="A2924" s="8"/>
    </row>
    <row r="2925" spans="1:1" x14ac:dyDescent="0.25">
      <c r="A2925" s="8"/>
    </row>
    <row r="2926" spans="1:1" x14ac:dyDescent="0.25">
      <c r="A2926" s="8"/>
    </row>
    <row r="2927" spans="1:1" x14ac:dyDescent="0.25">
      <c r="A2927" s="8"/>
    </row>
    <row r="2928" spans="1:1" x14ac:dyDescent="0.25">
      <c r="A2928" s="8"/>
    </row>
    <row r="2929" spans="1:1" x14ac:dyDescent="0.25">
      <c r="A2929" s="8"/>
    </row>
    <row r="2930" spans="1:1" x14ac:dyDescent="0.25">
      <c r="A2930" s="8"/>
    </row>
    <row r="2931" spans="1:1" x14ac:dyDescent="0.25">
      <c r="A2931" s="8"/>
    </row>
    <row r="2932" spans="1:1" x14ac:dyDescent="0.25">
      <c r="A2932" s="8"/>
    </row>
    <row r="2933" spans="1:1" x14ac:dyDescent="0.25">
      <c r="A2933" s="8"/>
    </row>
    <row r="2934" spans="1:1" x14ac:dyDescent="0.25">
      <c r="A2934" s="8"/>
    </row>
    <row r="2935" spans="1:1" x14ac:dyDescent="0.25">
      <c r="A2935" s="8"/>
    </row>
    <row r="2936" spans="1:1" x14ac:dyDescent="0.25">
      <c r="A2936" s="8"/>
    </row>
    <row r="2937" spans="1:1" x14ac:dyDescent="0.25">
      <c r="A2937" s="8"/>
    </row>
    <row r="2938" spans="1:1" x14ac:dyDescent="0.25">
      <c r="A2938" s="8"/>
    </row>
    <row r="2939" spans="1:1" x14ac:dyDescent="0.25">
      <c r="A2939" s="8"/>
    </row>
    <row r="2940" spans="1:1" x14ac:dyDescent="0.25">
      <c r="A2940" s="8"/>
    </row>
    <row r="2941" spans="1:1" x14ac:dyDescent="0.25">
      <c r="A2941" s="8"/>
    </row>
    <row r="2942" spans="1:1" x14ac:dyDescent="0.25">
      <c r="A2942" s="8"/>
    </row>
    <row r="2943" spans="1:1" x14ac:dyDescent="0.25">
      <c r="A2943" s="8"/>
    </row>
    <row r="2944" spans="1:1" x14ac:dyDescent="0.25">
      <c r="A2944" s="8"/>
    </row>
    <row r="2945" spans="1:1" x14ac:dyDescent="0.25">
      <c r="A2945" s="8"/>
    </row>
    <row r="2946" spans="1:1" x14ac:dyDescent="0.25">
      <c r="A2946" s="8"/>
    </row>
    <row r="2947" spans="1:1" x14ac:dyDescent="0.25">
      <c r="A2947" s="8"/>
    </row>
    <row r="2948" spans="1:1" x14ac:dyDescent="0.25">
      <c r="A2948" s="8"/>
    </row>
    <row r="2949" spans="1:1" x14ac:dyDescent="0.25">
      <c r="A2949" s="8"/>
    </row>
    <row r="2950" spans="1:1" x14ac:dyDescent="0.25">
      <c r="A2950" s="8"/>
    </row>
    <row r="2951" spans="1:1" x14ac:dyDescent="0.25">
      <c r="A2951" s="8"/>
    </row>
    <row r="2952" spans="1:1" x14ac:dyDescent="0.25">
      <c r="A2952" s="8"/>
    </row>
    <row r="2953" spans="1:1" x14ac:dyDescent="0.25">
      <c r="A2953" s="8"/>
    </row>
    <row r="2954" spans="1:1" x14ac:dyDescent="0.25">
      <c r="A2954" s="8"/>
    </row>
    <row r="2955" spans="1:1" x14ac:dyDescent="0.25">
      <c r="A2955" s="8"/>
    </row>
    <row r="2956" spans="1:1" x14ac:dyDescent="0.25">
      <c r="A2956" s="8"/>
    </row>
    <row r="2957" spans="1:1" x14ac:dyDescent="0.25">
      <c r="A2957" s="8"/>
    </row>
    <row r="2958" spans="1:1" x14ac:dyDescent="0.25">
      <c r="A2958" s="8"/>
    </row>
    <row r="2959" spans="1:1" x14ac:dyDescent="0.25">
      <c r="A2959" s="8"/>
    </row>
    <row r="2960" spans="1:1" x14ac:dyDescent="0.25">
      <c r="A2960" s="8"/>
    </row>
    <row r="2961" spans="1:1" x14ac:dyDescent="0.25">
      <c r="A2961" s="8"/>
    </row>
    <row r="2962" spans="1:1" x14ac:dyDescent="0.25">
      <c r="A2962" s="8"/>
    </row>
    <row r="2963" spans="1:1" x14ac:dyDescent="0.25">
      <c r="A2963" s="8"/>
    </row>
    <row r="2964" spans="1:1" x14ac:dyDescent="0.25">
      <c r="A2964" s="8"/>
    </row>
    <row r="2965" spans="1:1" x14ac:dyDescent="0.25">
      <c r="A2965" s="8"/>
    </row>
    <row r="2966" spans="1:1" x14ac:dyDescent="0.25">
      <c r="A2966" s="8"/>
    </row>
    <row r="2967" spans="1:1" x14ac:dyDescent="0.25">
      <c r="A2967" s="8"/>
    </row>
    <row r="2968" spans="1:1" x14ac:dyDescent="0.25">
      <c r="A2968" s="8"/>
    </row>
    <row r="2969" spans="1:1" x14ac:dyDescent="0.25">
      <c r="A2969" s="8"/>
    </row>
    <row r="2970" spans="1:1" x14ac:dyDescent="0.25">
      <c r="A2970" s="8"/>
    </row>
    <row r="2971" spans="1:1" x14ac:dyDescent="0.25">
      <c r="A2971" s="8"/>
    </row>
    <row r="2972" spans="1:1" x14ac:dyDescent="0.25">
      <c r="A2972" s="8"/>
    </row>
    <row r="2973" spans="1:1" x14ac:dyDescent="0.25">
      <c r="A2973" s="8"/>
    </row>
    <row r="2974" spans="1:1" x14ac:dyDescent="0.25">
      <c r="A2974" s="8"/>
    </row>
    <row r="2975" spans="1:1" x14ac:dyDescent="0.25">
      <c r="A2975" s="8"/>
    </row>
    <row r="2976" spans="1:1" x14ac:dyDescent="0.25">
      <c r="A2976" s="8"/>
    </row>
    <row r="2977" spans="1:1" x14ac:dyDescent="0.25">
      <c r="A2977" s="8"/>
    </row>
    <row r="2978" spans="1:1" x14ac:dyDescent="0.25">
      <c r="A2978" s="8"/>
    </row>
    <row r="2979" spans="1:1" x14ac:dyDescent="0.25">
      <c r="A2979" s="8"/>
    </row>
    <row r="2980" spans="1:1" x14ac:dyDescent="0.25">
      <c r="A2980" s="8"/>
    </row>
    <row r="2981" spans="1:1" x14ac:dyDescent="0.25">
      <c r="A2981" s="8"/>
    </row>
    <row r="2982" spans="1:1" x14ac:dyDescent="0.25">
      <c r="A2982" s="8"/>
    </row>
    <row r="2983" spans="1:1" x14ac:dyDescent="0.25">
      <c r="A2983" s="8"/>
    </row>
    <row r="2984" spans="1:1" x14ac:dyDescent="0.25">
      <c r="A2984" s="8"/>
    </row>
    <row r="2985" spans="1:1" x14ac:dyDescent="0.25">
      <c r="A2985" s="8"/>
    </row>
    <row r="2986" spans="1:1" x14ac:dyDescent="0.25">
      <c r="A2986" s="8"/>
    </row>
    <row r="2987" spans="1:1" x14ac:dyDescent="0.25">
      <c r="A2987" s="8"/>
    </row>
    <row r="2988" spans="1:1" x14ac:dyDescent="0.25">
      <c r="A2988" s="8"/>
    </row>
    <row r="2989" spans="1:1" x14ac:dyDescent="0.25">
      <c r="A2989" s="8"/>
    </row>
    <row r="2990" spans="1:1" x14ac:dyDescent="0.25">
      <c r="A2990" s="8"/>
    </row>
    <row r="2991" spans="1:1" x14ac:dyDescent="0.25">
      <c r="A2991" s="8"/>
    </row>
    <row r="2992" spans="1:1" x14ac:dyDescent="0.25">
      <c r="A2992" s="8"/>
    </row>
    <row r="2993" spans="1:1" x14ac:dyDescent="0.25">
      <c r="A2993" s="8"/>
    </row>
    <row r="2994" spans="1:1" x14ac:dyDescent="0.25">
      <c r="A2994" s="8"/>
    </row>
    <row r="2995" spans="1:1" x14ac:dyDescent="0.25">
      <c r="A2995" s="8"/>
    </row>
    <row r="2996" spans="1:1" x14ac:dyDescent="0.25">
      <c r="A2996" s="8"/>
    </row>
    <row r="2997" spans="1:1" x14ac:dyDescent="0.25">
      <c r="A2997" s="8"/>
    </row>
    <row r="2998" spans="1:1" x14ac:dyDescent="0.25">
      <c r="A2998" s="8"/>
    </row>
    <row r="2999" spans="1:1" x14ac:dyDescent="0.25">
      <c r="A2999" s="8"/>
    </row>
    <row r="3000" spans="1:1" x14ac:dyDescent="0.25">
      <c r="A3000" s="8"/>
    </row>
    <row r="3001" spans="1:1" x14ac:dyDescent="0.25">
      <c r="A3001" s="8"/>
    </row>
    <row r="3002" spans="1:1" x14ac:dyDescent="0.25">
      <c r="A3002" s="8"/>
    </row>
    <row r="3003" spans="1:1" x14ac:dyDescent="0.25">
      <c r="A3003" s="8"/>
    </row>
    <row r="3004" spans="1:1" x14ac:dyDescent="0.25">
      <c r="A3004" s="8"/>
    </row>
    <row r="3005" spans="1:1" x14ac:dyDescent="0.25">
      <c r="A3005" s="8"/>
    </row>
    <row r="3006" spans="1:1" x14ac:dyDescent="0.25">
      <c r="A3006" s="8"/>
    </row>
    <row r="3007" spans="1:1" x14ac:dyDescent="0.25">
      <c r="A3007" s="8"/>
    </row>
    <row r="3008" spans="1:1" x14ac:dyDescent="0.25">
      <c r="A3008" s="8"/>
    </row>
    <row r="3009" spans="1:1" x14ac:dyDescent="0.25">
      <c r="A3009" s="8"/>
    </row>
    <row r="3010" spans="1:1" x14ac:dyDescent="0.25">
      <c r="A3010" s="8"/>
    </row>
    <row r="3011" spans="1:1" x14ac:dyDescent="0.25">
      <c r="A3011" s="8"/>
    </row>
    <row r="3012" spans="1:1" x14ac:dyDescent="0.25">
      <c r="A3012" s="8"/>
    </row>
    <row r="3013" spans="1:1" x14ac:dyDescent="0.25">
      <c r="A3013" s="8"/>
    </row>
    <row r="3014" spans="1:1" x14ac:dyDescent="0.25">
      <c r="A3014" s="8"/>
    </row>
    <row r="3015" spans="1:1" x14ac:dyDescent="0.25">
      <c r="A3015" s="8"/>
    </row>
    <row r="3016" spans="1:1" x14ac:dyDescent="0.25">
      <c r="A3016" s="8"/>
    </row>
    <row r="3017" spans="1:1" x14ac:dyDescent="0.25">
      <c r="A3017" s="8"/>
    </row>
    <row r="3018" spans="1:1" x14ac:dyDescent="0.25">
      <c r="A3018" s="8"/>
    </row>
    <row r="3019" spans="1:1" x14ac:dyDescent="0.25">
      <c r="A3019" s="8"/>
    </row>
    <row r="3020" spans="1:1" x14ac:dyDescent="0.25">
      <c r="A3020" s="8"/>
    </row>
    <row r="3021" spans="1:1" x14ac:dyDescent="0.25">
      <c r="A3021" s="8"/>
    </row>
    <row r="3022" spans="1:1" x14ac:dyDescent="0.25">
      <c r="A3022" s="8"/>
    </row>
    <row r="3023" spans="1:1" x14ac:dyDescent="0.25">
      <c r="A3023" s="8"/>
    </row>
    <row r="3024" spans="1:1" x14ac:dyDescent="0.25">
      <c r="A3024" s="8"/>
    </row>
    <row r="3025" spans="1:1" x14ac:dyDescent="0.25">
      <c r="A3025" s="8"/>
    </row>
    <row r="3026" spans="1:1" x14ac:dyDescent="0.25">
      <c r="A3026" s="8"/>
    </row>
    <row r="3027" spans="1:1" x14ac:dyDescent="0.25">
      <c r="A3027" s="8"/>
    </row>
    <row r="3028" spans="1:1" x14ac:dyDescent="0.25">
      <c r="A3028" s="8"/>
    </row>
    <row r="3029" spans="1:1" x14ac:dyDescent="0.25">
      <c r="A3029" s="8"/>
    </row>
    <row r="3030" spans="1:1" x14ac:dyDescent="0.25">
      <c r="A3030" s="8"/>
    </row>
    <row r="3031" spans="1:1" x14ac:dyDescent="0.25">
      <c r="A3031" s="8"/>
    </row>
    <row r="3032" spans="1:1" x14ac:dyDescent="0.25">
      <c r="A3032" s="8"/>
    </row>
    <row r="3033" spans="1:1" x14ac:dyDescent="0.25">
      <c r="A3033" s="8"/>
    </row>
    <row r="3034" spans="1:1" x14ac:dyDescent="0.25">
      <c r="A3034" s="8"/>
    </row>
    <row r="3035" spans="1:1" x14ac:dyDescent="0.25">
      <c r="A3035" s="8"/>
    </row>
    <row r="3036" spans="1:1" x14ac:dyDescent="0.25">
      <c r="A3036" s="8"/>
    </row>
    <row r="3037" spans="1:1" x14ac:dyDescent="0.25">
      <c r="A3037" s="8"/>
    </row>
    <row r="3038" spans="1:1" x14ac:dyDescent="0.25">
      <c r="A3038" s="8"/>
    </row>
    <row r="3039" spans="1:1" x14ac:dyDescent="0.25">
      <c r="A3039" s="8"/>
    </row>
    <row r="3040" spans="1:1" x14ac:dyDescent="0.25">
      <c r="A3040" s="8"/>
    </row>
    <row r="3041" spans="1:1" x14ac:dyDescent="0.25">
      <c r="A3041" s="8"/>
    </row>
    <row r="3042" spans="1:1" x14ac:dyDescent="0.25">
      <c r="A3042" s="8"/>
    </row>
    <row r="3043" spans="1:1" x14ac:dyDescent="0.25">
      <c r="A3043" s="8"/>
    </row>
    <row r="3044" spans="1:1" x14ac:dyDescent="0.25">
      <c r="A3044" s="8"/>
    </row>
    <row r="3045" spans="1:1" x14ac:dyDescent="0.25">
      <c r="A3045" s="8"/>
    </row>
    <row r="3046" spans="1:1" x14ac:dyDescent="0.25">
      <c r="A3046" s="8"/>
    </row>
    <row r="3047" spans="1:1" x14ac:dyDescent="0.25">
      <c r="A3047" s="8"/>
    </row>
    <row r="3048" spans="1:1" x14ac:dyDescent="0.25">
      <c r="A3048" s="8"/>
    </row>
  </sheetData>
  <mergeCells count="11">
    <mergeCell ref="M1:M2"/>
    <mergeCell ref="A1:A2"/>
    <mergeCell ref="B1:B2"/>
    <mergeCell ref="C1:C2"/>
    <mergeCell ref="D1:F1"/>
    <mergeCell ref="H1:H2"/>
    <mergeCell ref="I1:I2"/>
    <mergeCell ref="J1:J2"/>
    <mergeCell ref="G1:G2"/>
    <mergeCell ref="K1:K2"/>
    <mergeCell ref="L1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2021-01-25T10:09:36Z</dcterms:created>
  <dcterms:modified xsi:type="dcterms:W3CDTF">2021-07-20T06:47:22Z</dcterms:modified>
</cp:coreProperties>
</file>