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eidi\Documents\PhD\BRG PHD\Papers\Economic\"/>
    </mc:Choice>
  </mc:AlternateContent>
  <xr:revisionPtr revIDLastSave="0" documentId="13_ncr:1_{3C5BEB17-DBC7-4AFF-9108-97FFB0B90FD2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at Energetic calcs" sheetId="1" r:id="rId1"/>
    <sheet name="bAT ENERGETIC CALCS (TABLES)" sheetId="13" r:id="rId2"/>
    <sheet name="Sheet1" sheetId="17" r:id="rId3"/>
    <sheet name="Scaling" sheetId="6" r:id="rId4"/>
    <sheet name="FMR equation for consumption" sheetId="8" r:id="rId5"/>
    <sheet name="Final insect weight kjg " sheetId="7" r:id="rId6"/>
    <sheet name="Chalinolobus gouldi calcs" sheetId="14" r:id="rId7"/>
    <sheet name="Egg mortality" sheetId="12" r:id="rId8"/>
    <sheet name="Sheet2" sheetId="16" r:id="rId9"/>
    <sheet name="SM distance" sheetId="11" r:id="rId10"/>
    <sheet name="Potential bird info" sheetId="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02" i="13" l="1"/>
  <c r="AF102" i="13"/>
  <c r="AE101" i="13"/>
  <c r="AF84" i="13"/>
  <c r="AF85" i="13"/>
  <c r="AF86" i="13"/>
  <c r="AF87" i="13"/>
  <c r="AF88" i="13"/>
  <c r="AF89" i="13"/>
  <c r="AF90" i="13"/>
  <c r="AF91" i="13"/>
  <c r="AF92" i="13"/>
  <c r="AF93" i="13"/>
  <c r="AF94" i="13"/>
  <c r="AF95" i="13"/>
  <c r="AF96" i="13"/>
  <c r="AF97" i="13"/>
  <c r="AF98" i="13"/>
  <c r="AF99" i="13"/>
  <c r="AF100" i="13"/>
  <c r="AF83" i="13"/>
  <c r="AE84" i="13"/>
  <c r="AE85" i="13"/>
  <c r="AE86" i="13"/>
  <c r="AE87" i="13"/>
  <c r="AE88" i="13"/>
  <c r="AE89" i="13"/>
  <c r="AE90" i="13"/>
  <c r="AE91" i="13"/>
  <c r="AE92" i="13"/>
  <c r="AE93" i="13"/>
  <c r="AE94" i="13"/>
  <c r="AE95" i="13"/>
  <c r="AE96" i="13"/>
  <c r="AE97" i="13"/>
  <c r="AE98" i="13"/>
  <c r="AE99" i="13"/>
  <c r="AE100" i="13"/>
  <c r="AE83" i="13"/>
  <c r="AC83" i="13"/>
  <c r="AG83" i="13"/>
  <c r="AM83" i="13" s="1"/>
  <c r="AC85" i="13"/>
  <c r="AG84" i="13"/>
  <c r="AY83" i="13"/>
  <c r="AY84" i="13"/>
  <c r="M33" i="14"/>
  <c r="N33" i="14"/>
  <c r="O33" i="14"/>
  <c r="P33" i="14"/>
  <c r="L33" i="14"/>
  <c r="M32" i="14"/>
  <c r="N32" i="14"/>
  <c r="O32" i="14"/>
  <c r="P32" i="14"/>
  <c r="L32" i="14"/>
  <c r="C39" i="14"/>
  <c r="C40" i="14"/>
  <c r="D39" i="14"/>
  <c r="G32" i="14"/>
  <c r="AK88" i="13"/>
  <c r="AM99" i="13"/>
  <c r="AO83" i="13"/>
  <c r="S83" i="13"/>
  <c r="U4" i="17"/>
  <c r="AY85" i="13"/>
  <c r="AY86" i="13"/>
  <c r="AY87" i="13"/>
  <c r="AY88" i="13"/>
  <c r="AY89" i="13"/>
  <c r="AY90" i="13"/>
  <c r="AY91" i="13"/>
  <c r="AY92" i="13"/>
  <c r="AY93" i="13"/>
  <c r="AY94" i="13"/>
  <c r="AY95" i="13"/>
  <c r="AY96" i="13"/>
  <c r="AY97" i="13"/>
  <c r="AY98" i="13"/>
  <c r="AY99" i="13"/>
  <c r="AY100" i="13"/>
  <c r="AY101" i="13"/>
  <c r="AK83" i="13"/>
  <c r="AL83" i="13"/>
  <c r="AU3" i="1"/>
  <c r="AY102" i="13"/>
  <c r="C10" i="14"/>
  <c r="N27" i="11" s="1"/>
  <c r="AL84" i="13"/>
  <c r="AL85" i="13"/>
  <c r="AL86" i="13"/>
  <c r="AL87" i="13"/>
  <c r="AL88" i="13"/>
  <c r="AL89" i="13"/>
  <c r="AL90" i="13"/>
  <c r="AL91" i="13"/>
  <c r="AL92" i="13"/>
  <c r="AL93" i="13"/>
  <c r="AL94" i="13"/>
  <c r="AL95" i="13"/>
  <c r="AL96" i="13"/>
  <c r="AL97" i="13"/>
  <c r="AL98" i="13"/>
  <c r="AL99" i="13"/>
  <c r="AL100" i="13"/>
  <c r="X5" i="1"/>
  <c r="AK84" i="13"/>
  <c r="AK85" i="13"/>
  <c r="AK86" i="13"/>
  <c r="AK87" i="13"/>
  <c r="AK89" i="13"/>
  <c r="AK90" i="13"/>
  <c r="AK91" i="13"/>
  <c r="AK92" i="13"/>
  <c r="AK93" i="13"/>
  <c r="AK94" i="13"/>
  <c r="AK95" i="13"/>
  <c r="AK96" i="13"/>
  <c r="AK97" i="13"/>
  <c r="AK98" i="13"/>
  <c r="AK99" i="13"/>
  <c r="AK100" i="13"/>
  <c r="Y5" i="1"/>
  <c r="Q4" i="17"/>
  <c r="AQ102" i="13"/>
  <c r="AT83" i="13"/>
  <c r="D33" i="14"/>
  <c r="W5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31" i="1"/>
  <c r="F21" i="7"/>
  <c r="D5" i="14"/>
  <c r="D6" i="14"/>
  <c r="D7" i="14"/>
  <c r="D8" i="14"/>
  <c r="D9" i="14"/>
  <c r="G26" i="14"/>
  <c r="G33" i="14"/>
  <c r="K26" i="14"/>
  <c r="K32" i="14" s="1"/>
  <c r="K33" i="14" s="1"/>
  <c r="J26" i="14"/>
  <c r="I26" i="14"/>
  <c r="H26" i="14"/>
  <c r="AR5" i="1"/>
  <c r="AS5" i="1" s="1"/>
  <c r="D51" i="14"/>
  <c r="D40" i="14"/>
  <c r="E19" i="6"/>
  <c r="F19" i="6"/>
  <c r="B19" i="6" s="1"/>
  <c r="D19" i="6"/>
  <c r="F18" i="6"/>
  <c r="U14" i="11"/>
  <c r="V14" i="11" s="1"/>
  <c r="N19" i="6"/>
  <c r="M19" i="6"/>
  <c r="M18" i="6"/>
  <c r="K19" i="6"/>
  <c r="K18" i="6"/>
  <c r="O19" i="6"/>
  <c r="N18" i="6"/>
  <c r="L19" i="6"/>
  <c r="O18" i="6"/>
  <c r="Q19" i="6"/>
  <c r="O14" i="11"/>
  <c r="T14" i="11"/>
  <c r="U139" i="13"/>
  <c r="S14" i="11"/>
  <c r="V139" i="13"/>
  <c r="T83" i="13" s="1"/>
  <c r="X133" i="13"/>
  <c r="Y133" i="13" s="1"/>
  <c r="M18" i="11"/>
  <c r="K34" i="14"/>
  <c r="M5" i="6"/>
  <c r="K5" i="6"/>
  <c r="G30" i="14" s="1"/>
  <c r="G34" i="14" s="1"/>
  <c r="K21" i="11"/>
  <c r="P14" i="11"/>
  <c r="R15" i="11"/>
  <c r="S15" i="11" s="1"/>
  <c r="R14" i="11"/>
  <c r="U15" i="11"/>
  <c r="E55" i="14"/>
  <c r="D55" i="14"/>
  <c r="E54" i="14"/>
  <c r="D54" i="14"/>
  <c r="E53" i="14"/>
  <c r="D53" i="14"/>
  <c r="E52" i="14"/>
  <c r="D52" i="14"/>
  <c r="E51" i="14"/>
  <c r="F41" i="14"/>
  <c r="K30" i="14"/>
  <c r="J30" i="14"/>
  <c r="J34" i="14" s="1"/>
  <c r="I30" i="14"/>
  <c r="I34" i="14" s="1"/>
  <c r="H30" i="14"/>
  <c r="H34" i="14" s="1"/>
  <c r="C5" i="14"/>
  <c r="C6" i="14"/>
  <c r="AS81" i="13"/>
  <c r="AS82" i="13"/>
  <c r="T107" i="13"/>
  <c r="F16" i="7"/>
  <c r="AA32" i="17"/>
  <c r="AB5" i="17"/>
  <c r="AB6" i="17"/>
  <c r="AB7" i="17"/>
  <c r="AB8" i="17"/>
  <c r="AB9" i="17"/>
  <c r="AB10" i="17"/>
  <c r="AB11" i="17"/>
  <c r="AB12" i="17"/>
  <c r="AB13" i="17"/>
  <c r="AB14" i="17"/>
  <c r="AB15" i="17"/>
  <c r="AB16" i="17"/>
  <c r="AB17" i="17"/>
  <c r="AB18" i="17"/>
  <c r="AB19" i="17"/>
  <c r="AB20" i="17"/>
  <c r="AB21" i="17"/>
  <c r="AB22" i="17"/>
  <c r="AB23" i="17"/>
  <c r="AB24" i="17"/>
  <c r="AA5" i="17"/>
  <c r="AA6" i="17"/>
  <c r="AA7" i="17"/>
  <c r="AA8" i="17"/>
  <c r="AA9" i="17"/>
  <c r="AA10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4" i="17"/>
  <c r="AB4" i="17"/>
  <c r="AS11" i="17"/>
  <c r="AS4" i="17"/>
  <c r="AT4" i="17"/>
  <c r="P13" i="17"/>
  <c r="P12" i="17"/>
  <c r="P14" i="17"/>
  <c r="P11" i="17"/>
  <c r="P10" i="17"/>
  <c r="X18" i="17"/>
  <c r="X5" i="17"/>
  <c r="Y5" i="17"/>
  <c r="X6" i="17"/>
  <c r="Y6" i="17"/>
  <c r="X7" i="17"/>
  <c r="Y7" i="17"/>
  <c r="X8" i="17"/>
  <c r="Y8" i="17"/>
  <c r="X9" i="17"/>
  <c r="Y9" i="17"/>
  <c r="X10" i="17"/>
  <c r="Y10" i="17"/>
  <c r="X11" i="17"/>
  <c r="Y11" i="17"/>
  <c r="X12" i="17"/>
  <c r="Y12" i="17"/>
  <c r="X13" i="17"/>
  <c r="Y13" i="17"/>
  <c r="X14" i="17"/>
  <c r="Y14" i="17"/>
  <c r="X15" i="17"/>
  <c r="Y15" i="17"/>
  <c r="X16" i="17"/>
  <c r="Y16" i="17"/>
  <c r="X17" i="17"/>
  <c r="Y17" i="17"/>
  <c r="Y18" i="17"/>
  <c r="X19" i="17"/>
  <c r="Y19" i="17"/>
  <c r="X20" i="17"/>
  <c r="Y20" i="17"/>
  <c r="X21" i="17"/>
  <c r="Y21" i="17"/>
  <c r="X22" i="17"/>
  <c r="Y22" i="17"/>
  <c r="X23" i="17"/>
  <c r="Y23" i="17"/>
  <c r="X24" i="17"/>
  <c r="Y24" i="17"/>
  <c r="X4" i="17"/>
  <c r="Y4" i="17"/>
  <c r="G9" i="7"/>
  <c r="P16" i="17"/>
  <c r="P15" i="17"/>
  <c r="AR11" i="17"/>
  <c r="W5" i="17"/>
  <c r="W6" i="17"/>
  <c r="W7" i="17"/>
  <c r="W8" i="17"/>
  <c r="W9" i="17"/>
  <c r="W10" i="17"/>
  <c r="W11" i="17"/>
  <c r="W12" i="17"/>
  <c r="W13" i="17"/>
  <c r="W14" i="17"/>
  <c r="W15" i="17"/>
  <c r="W16" i="17"/>
  <c r="W17" i="17"/>
  <c r="W18" i="17"/>
  <c r="W19" i="17"/>
  <c r="W20" i="17"/>
  <c r="W21" i="17"/>
  <c r="W22" i="17"/>
  <c r="W23" i="17"/>
  <c r="W24" i="17"/>
  <c r="W4" i="17"/>
  <c r="V4" i="17"/>
  <c r="V93" i="13"/>
  <c r="Z93" i="13" s="1"/>
  <c r="AG93" i="13" s="1"/>
  <c r="AM93" i="13" s="1"/>
  <c r="W93" i="13"/>
  <c r="Y93" i="13" s="1"/>
  <c r="V101" i="13"/>
  <c r="X101" i="13" s="1"/>
  <c r="W101" i="13"/>
  <c r="Y101" i="13" s="1"/>
  <c r="V82" i="13"/>
  <c r="V81" i="13"/>
  <c r="M14" i="11"/>
  <c r="N14" i="11" s="1"/>
  <c r="O45" i="11"/>
  <c r="P45" i="11" s="1"/>
  <c r="X134" i="13"/>
  <c r="X138" i="13" s="1"/>
  <c r="M15" i="11"/>
  <c r="N15" i="11" s="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6" i="11"/>
  <c r="O127" i="11"/>
  <c r="O128" i="11"/>
  <c r="O129" i="11"/>
  <c r="O130" i="11"/>
  <c r="O131" i="11"/>
  <c r="O132" i="11"/>
  <c r="O133" i="11"/>
  <c r="O134" i="11"/>
  <c r="O135" i="11"/>
  <c r="O136" i="11"/>
  <c r="O137" i="11"/>
  <c r="O138" i="11"/>
  <c r="O139" i="11"/>
  <c r="O140" i="11"/>
  <c r="O141" i="11"/>
  <c r="O142" i="11"/>
  <c r="O143" i="11"/>
  <c r="O144" i="11"/>
  <c r="O145" i="11"/>
  <c r="O146" i="11"/>
  <c r="O147" i="11"/>
  <c r="O148" i="11"/>
  <c r="O149" i="11"/>
  <c r="O150" i="11"/>
  <c r="O151" i="11"/>
  <c r="O152" i="11"/>
  <c r="O153" i="11"/>
  <c r="O154" i="11"/>
  <c r="O155" i="11"/>
  <c r="O156" i="11"/>
  <c r="O157" i="11"/>
  <c r="O158" i="11"/>
  <c r="O159" i="11"/>
  <c r="O160" i="11"/>
  <c r="O161" i="11"/>
  <c r="O162" i="11"/>
  <c r="O163" i="11"/>
  <c r="O164" i="11"/>
  <c r="O165" i="11"/>
  <c r="O166" i="11"/>
  <c r="O167" i="11"/>
  <c r="O168" i="11"/>
  <c r="O169" i="11"/>
  <c r="O170" i="11"/>
  <c r="O171" i="11"/>
  <c r="O172" i="11"/>
  <c r="O173" i="11"/>
  <c r="O174" i="11"/>
  <c r="P54" i="17"/>
  <c r="P55" i="17"/>
  <c r="P57" i="17"/>
  <c r="P58" i="17"/>
  <c r="P59" i="17"/>
  <c r="P61" i="17"/>
  <c r="P62" i="17"/>
  <c r="P63" i="17"/>
  <c r="P65" i="17"/>
  <c r="P66" i="17"/>
  <c r="P67" i="17"/>
  <c r="P69" i="17"/>
  <c r="P70" i="17"/>
  <c r="P71" i="17"/>
  <c r="P73" i="17"/>
  <c r="X54" i="17"/>
  <c r="X53" i="17"/>
  <c r="S56" i="17"/>
  <c r="S57" i="17"/>
  <c r="S60" i="17"/>
  <c r="S61" i="17"/>
  <c r="S64" i="17"/>
  <c r="S65" i="17"/>
  <c r="S68" i="17"/>
  <c r="S69" i="17"/>
  <c r="S72" i="17"/>
  <c r="S73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U29" i="17"/>
  <c r="U30" i="17"/>
  <c r="U31" i="17"/>
  <c r="P56" i="17" s="1"/>
  <c r="U32" i="17"/>
  <c r="U33" i="17"/>
  <c r="U34" i="17"/>
  <c r="U35" i="17"/>
  <c r="P60" i="17" s="1"/>
  <c r="U36" i="17"/>
  <c r="U37" i="17"/>
  <c r="U38" i="17"/>
  <c r="U39" i="17"/>
  <c r="P64" i="17" s="1"/>
  <c r="U40" i="17"/>
  <c r="U41" i="17"/>
  <c r="U42" i="17"/>
  <c r="U43" i="17"/>
  <c r="P68" i="17" s="1"/>
  <c r="U44" i="17"/>
  <c r="U45" i="17"/>
  <c r="U46" i="17"/>
  <c r="U47" i="17"/>
  <c r="P72" i="17" s="1"/>
  <c r="U48" i="17"/>
  <c r="R28" i="17"/>
  <c r="U28" i="17"/>
  <c r="P53" i="17" s="1"/>
  <c r="AP29" i="17"/>
  <c r="AP30" i="17"/>
  <c r="AP31" i="17"/>
  <c r="AP32" i="17"/>
  <c r="AP33" i="17"/>
  <c r="AP34" i="17"/>
  <c r="AP35" i="17"/>
  <c r="AP36" i="17"/>
  <c r="AP37" i="17"/>
  <c r="AP38" i="17"/>
  <c r="AP39" i="17"/>
  <c r="AP40" i="17"/>
  <c r="AP41" i="17"/>
  <c r="AP42" i="17"/>
  <c r="AP43" i="17"/>
  <c r="AP44" i="17"/>
  <c r="AP45" i="17"/>
  <c r="AP46" i="17"/>
  <c r="AP47" i="17"/>
  <c r="AP48" i="17"/>
  <c r="AP28" i="17"/>
  <c r="AM29" i="17"/>
  <c r="AM30" i="17"/>
  <c r="AM31" i="17"/>
  <c r="AM32" i="17"/>
  <c r="AM33" i="17"/>
  <c r="AM34" i="17"/>
  <c r="AM35" i="17"/>
  <c r="AM36" i="17"/>
  <c r="AM37" i="17"/>
  <c r="AM38" i="17"/>
  <c r="AM39" i="17"/>
  <c r="AM40" i="17"/>
  <c r="AM41" i="17"/>
  <c r="AM42" i="17"/>
  <c r="AM43" i="17"/>
  <c r="AM44" i="17"/>
  <c r="AM45" i="17"/>
  <c r="AM46" i="17"/>
  <c r="AM47" i="17"/>
  <c r="AM48" i="17"/>
  <c r="AM28" i="17"/>
  <c r="AJ29" i="17"/>
  <c r="AJ30" i="17"/>
  <c r="AJ31" i="17"/>
  <c r="AJ32" i="17"/>
  <c r="AJ33" i="17"/>
  <c r="AJ34" i="17"/>
  <c r="AJ35" i="17"/>
  <c r="AJ36" i="17"/>
  <c r="AJ37" i="17"/>
  <c r="AJ38" i="17"/>
  <c r="AJ39" i="17"/>
  <c r="AJ40" i="17"/>
  <c r="AJ41" i="17"/>
  <c r="AJ42" i="17"/>
  <c r="AJ43" i="17"/>
  <c r="AJ44" i="17"/>
  <c r="AJ45" i="17"/>
  <c r="AJ46" i="17"/>
  <c r="AJ47" i="17"/>
  <c r="AJ48" i="17"/>
  <c r="AJ28" i="17"/>
  <c r="AG29" i="17"/>
  <c r="AG30" i="17"/>
  <c r="AG31" i="17"/>
  <c r="AG32" i="17"/>
  <c r="AG33" i="17"/>
  <c r="AG34" i="17"/>
  <c r="AG35" i="17"/>
  <c r="AG36" i="17"/>
  <c r="AG37" i="17"/>
  <c r="AG38" i="17"/>
  <c r="AG39" i="17"/>
  <c r="AG40" i="17"/>
  <c r="AG41" i="17"/>
  <c r="AG42" i="17"/>
  <c r="AG43" i="17"/>
  <c r="AG44" i="17"/>
  <c r="AG45" i="17"/>
  <c r="AG46" i="17"/>
  <c r="AG47" i="17"/>
  <c r="AG48" i="17"/>
  <c r="AD29" i="17"/>
  <c r="S54" i="17" s="1"/>
  <c r="AD30" i="17"/>
  <c r="S55" i="17" s="1"/>
  <c r="AD31" i="17"/>
  <c r="AD32" i="17"/>
  <c r="AD33" i="17"/>
  <c r="S58" i="17" s="1"/>
  <c r="AD34" i="17"/>
  <c r="S59" i="17" s="1"/>
  <c r="AD35" i="17"/>
  <c r="AD36" i="17"/>
  <c r="AD37" i="17"/>
  <c r="S62" i="17" s="1"/>
  <c r="AD38" i="17"/>
  <c r="S63" i="17" s="1"/>
  <c r="AD39" i="17"/>
  <c r="AD40" i="17"/>
  <c r="AD41" i="17"/>
  <c r="S66" i="17" s="1"/>
  <c r="AD42" i="17"/>
  <c r="S67" i="17" s="1"/>
  <c r="AD43" i="17"/>
  <c r="AD44" i="17"/>
  <c r="AD45" i="17"/>
  <c r="S70" i="17" s="1"/>
  <c r="AD46" i="17"/>
  <c r="S71" i="17" s="1"/>
  <c r="AD47" i="17"/>
  <c r="AD48" i="17"/>
  <c r="AD28" i="17"/>
  <c r="S53" i="17" s="1"/>
  <c r="AG28" i="17"/>
  <c r="X29" i="17"/>
  <c r="W54" i="17" s="1"/>
  <c r="X30" i="17"/>
  <c r="W55" i="17" s="1"/>
  <c r="X31" i="17"/>
  <c r="W56" i="17" s="1"/>
  <c r="X32" i="17"/>
  <c r="W57" i="17" s="1"/>
  <c r="X33" i="17"/>
  <c r="W58" i="17" s="1"/>
  <c r="X34" i="17"/>
  <c r="W59" i="17" s="1"/>
  <c r="X35" i="17"/>
  <c r="W60" i="17" s="1"/>
  <c r="X36" i="17"/>
  <c r="W61" i="17" s="1"/>
  <c r="X37" i="17"/>
  <c r="W62" i="17" s="1"/>
  <c r="X38" i="17"/>
  <c r="W63" i="17" s="1"/>
  <c r="X39" i="17"/>
  <c r="W64" i="17" s="1"/>
  <c r="X40" i="17"/>
  <c r="W65" i="17" s="1"/>
  <c r="X41" i="17"/>
  <c r="W66" i="17" s="1"/>
  <c r="X42" i="17"/>
  <c r="W67" i="17" s="1"/>
  <c r="X43" i="17"/>
  <c r="W68" i="17" s="1"/>
  <c r="X44" i="17"/>
  <c r="W69" i="17" s="1"/>
  <c r="X45" i="17"/>
  <c r="W70" i="17" s="1"/>
  <c r="X46" i="17"/>
  <c r="W71" i="17" s="1"/>
  <c r="X47" i="17"/>
  <c r="W72" i="17" s="1"/>
  <c r="X48" i="17"/>
  <c r="W73" i="17" s="1"/>
  <c r="X28" i="17"/>
  <c r="W53" i="17" s="1"/>
  <c r="AA28" i="17"/>
  <c r="AA29" i="17"/>
  <c r="AM5" i="17"/>
  <c r="AN5" i="17"/>
  <c r="AM6" i="17"/>
  <c r="AN6" i="17"/>
  <c r="AM7" i="17"/>
  <c r="AN7" i="17"/>
  <c r="AM8" i="17"/>
  <c r="AN8" i="17"/>
  <c r="AM9" i="17"/>
  <c r="AN9" i="17"/>
  <c r="AM10" i="17"/>
  <c r="AN10" i="17"/>
  <c r="AM11" i="17"/>
  <c r="AN11" i="17"/>
  <c r="AM12" i="17"/>
  <c r="AN12" i="17"/>
  <c r="AM13" i="17"/>
  <c r="AN13" i="17"/>
  <c r="AM14" i="17"/>
  <c r="AN14" i="17"/>
  <c r="AM15" i="17"/>
  <c r="AN15" i="17"/>
  <c r="AM16" i="17"/>
  <c r="AN16" i="17"/>
  <c r="AM17" i="17"/>
  <c r="AN17" i="17"/>
  <c r="AM18" i="17"/>
  <c r="AN18" i="17"/>
  <c r="AM19" i="17"/>
  <c r="AN19" i="17"/>
  <c r="AM20" i="17"/>
  <c r="AN20" i="17"/>
  <c r="AM21" i="17"/>
  <c r="AN21" i="17"/>
  <c r="AM22" i="17"/>
  <c r="AN22" i="17"/>
  <c r="AM23" i="17"/>
  <c r="AN23" i="17"/>
  <c r="AM24" i="17"/>
  <c r="AN24" i="17"/>
  <c r="AN4" i="17"/>
  <c r="AM4" i="17"/>
  <c r="AJ24" i="17"/>
  <c r="AK24" i="17"/>
  <c r="AJ5" i="17"/>
  <c r="AK5" i="17"/>
  <c r="AJ6" i="17"/>
  <c r="AK6" i="17"/>
  <c r="AJ7" i="17"/>
  <c r="AK7" i="17"/>
  <c r="AJ8" i="17"/>
  <c r="AK8" i="17"/>
  <c r="AJ9" i="17"/>
  <c r="AK9" i="17"/>
  <c r="AJ10" i="17"/>
  <c r="AK10" i="17"/>
  <c r="AJ11" i="17"/>
  <c r="AK11" i="17"/>
  <c r="AJ12" i="17"/>
  <c r="AK12" i="17"/>
  <c r="AJ13" i="17"/>
  <c r="AK13" i="17"/>
  <c r="AJ14" i="17"/>
  <c r="AK14" i="17"/>
  <c r="AJ15" i="17"/>
  <c r="AK15" i="17"/>
  <c r="AJ16" i="17"/>
  <c r="AK16" i="17"/>
  <c r="AJ17" i="17"/>
  <c r="AK17" i="17"/>
  <c r="AJ18" i="17"/>
  <c r="AK18" i="17"/>
  <c r="AJ19" i="17"/>
  <c r="AK19" i="17"/>
  <c r="AJ20" i="17"/>
  <c r="AK20" i="17"/>
  <c r="AJ21" i="17"/>
  <c r="AK21" i="17"/>
  <c r="AJ22" i="17"/>
  <c r="AK22" i="17"/>
  <c r="AJ23" i="17"/>
  <c r="AK23" i="17"/>
  <c r="AK4" i="17"/>
  <c r="AJ4" i="17"/>
  <c r="AG5" i="17"/>
  <c r="AH5" i="17"/>
  <c r="AG6" i="17"/>
  <c r="AH6" i="17"/>
  <c r="AG7" i="17"/>
  <c r="AH7" i="17"/>
  <c r="AG8" i="17"/>
  <c r="AH8" i="17"/>
  <c r="AG9" i="17"/>
  <c r="AH9" i="17"/>
  <c r="AG10" i="17"/>
  <c r="AH10" i="17"/>
  <c r="AG11" i="17"/>
  <c r="AH11" i="17"/>
  <c r="AG12" i="17"/>
  <c r="AH12" i="17"/>
  <c r="AG13" i="17"/>
  <c r="AH13" i="17"/>
  <c r="AG14" i="17"/>
  <c r="AH14" i="17"/>
  <c r="AG15" i="17"/>
  <c r="AH15" i="17"/>
  <c r="AG16" i="17"/>
  <c r="AH16" i="17"/>
  <c r="AG17" i="17"/>
  <c r="AH17" i="17"/>
  <c r="AG18" i="17"/>
  <c r="AH18" i="17"/>
  <c r="AG19" i="17"/>
  <c r="AH19" i="17"/>
  <c r="AG20" i="17"/>
  <c r="AH20" i="17"/>
  <c r="AG21" i="17"/>
  <c r="AH21" i="17"/>
  <c r="AG22" i="17"/>
  <c r="AH22" i="17"/>
  <c r="AG23" i="17"/>
  <c r="AH23" i="17"/>
  <c r="AG24" i="17"/>
  <c r="AH24" i="17"/>
  <c r="AH4" i="17"/>
  <c r="AG4" i="17"/>
  <c r="AD4" i="17"/>
  <c r="AD5" i="17"/>
  <c r="AD6" i="17"/>
  <c r="AD7" i="17"/>
  <c r="AD8" i="17"/>
  <c r="AD9" i="17"/>
  <c r="AD10" i="17"/>
  <c r="AD11" i="17"/>
  <c r="AD12" i="17"/>
  <c r="AD13" i="17"/>
  <c r="AD14" i="17"/>
  <c r="AD15" i="17"/>
  <c r="AD16" i="17"/>
  <c r="AD17" i="17"/>
  <c r="AD18" i="17"/>
  <c r="AD19" i="17"/>
  <c r="AD20" i="17"/>
  <c r="AD21" i="17"/>
  <c r="AD22" i="17"/>
  <c r="AD23" i="17"/>
  <c r="AD24" i="17"/>
  <c r="AE5" i="17"/>
  <c r="AE6" i="17"/>
  <c r="AE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4" i="17"/>
  <c r="U5" i="17"/>
  <c r="V5" i="17"/>
  <c r="U6" i="17"/>
  <c r="V6" i="17"/>
  <c r="U7" i="17"/>
  <c r="V7" i="17"/>
  <c r="U8" i="17"/>
  <c r="V8" i="17"/>
  <c r="U9" i="17"/>
  <c r="V9" i="17"/>
  <c r="U10" i="17"/>
  <c r="V10" i="17"/>
  <c r="U11" i="17"/>
  <c r="V11" i="17"/>
  <c r="U12" i="17"/>
  <c r="V12" i="17"/>
  <c r="U13" i="17"/>
  <c r="V13" i="17"/>
  <c r="U14" i="17"/>
  <c r="V14" i="17"/>
  <c r="U15" i="17"/>
  <c r="V15" i="17"/>
  <c r="U16" i="17"/>
  <c r="V16" i="17"/>
  <c r="U17" i="17"/>
  <c r="V17" i="17"/>
  <c r="U18" i="17"/>
  <c r="V18" i="17"/>
  <c r="U19" i="17"/>
  <c r="V19" i="17"/>
  <c r="U20" i="17"/>
  <c r="V20" i="17"/>
  <c r="U21" i="17"/>
  <c r="V21" i="17"/>
  <c r="U22" i="17"/>
  <c r="V22" i="17"/>
  <c r="U23" i="17"/>
  <c r="V23" i="17"/>
  <c r="U24" i="17"/>
  <c r="V24" i="17"/>
  <c r="S6" i="17"/>
  <c r="T6" i="17"/>
  <c r="S7" i="17"/>
  <c r="T7" i="17"/>
  <c r="S8" i="17"/>
  <c r="T8" i="17"/>
  <c r="S9" i="17"/>
  <c r="T9" i="17"/>
  <c r="S10" i="17"/>
  <c r="T10" i="17"/>
  <c r="S11" i="17"/>
  <c r="T11" i="17"/>
  <c r="S12" i="17"/>
  <c r="T12" i="17"/>
  <c r="S13" i="17"/>
  <c r="T13" i="17"/>
  <c r="S14" i="17"/>
  <c r="T14" i="17"/>
  <c r="S15" i="17"/>
  <c r="T15" i="17"/>
  <c r="S16" i="17"/>
  <c r="T16" i="17"/>
  <c r="S17" i="17"/>
  <c r="T17" i="17"/>
  <c r="S18" i="17"/>
  <c r="T18" i="17"/>
  <c r="S19" i="17"/>
  <c r="T19" i="17"/>
  <c r="S20" i="17"/>
  <c r="T20" i="17"/>
  <c r="S21" i="17"/>
  <c r="T21" i="17"/>
  <c r="S22" i="17"/>
  <c r="T22" i="17"/>
  <c r="S23" i="17"/>
  <c r="T23" i="17"/>
  <c r="S24" i="17"/>
  <c r="T24" i="17"/>
  <c r="S5" i="17"/>
  <c r="T5" i="17"/>
  <c r="T4" i="17"/>
  <c r="S4" i="17"/>
  <c r="R9" i="17"/>
  <c r="R10" i="17"/>
  <c r="R11" i="17"/>
  <c r="R12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5" i="17"/>
  <c r="R6" i="17"/>
  <c r="R7" i="17"/>
  <c r="R8" i="17"/>
  <c r="R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AC93" i="13" l="1"/>
  <c r="AL101" i="13"/>
  <c r="AI93" i="13"/>
  <c r="AO93" i="13" s="1"/>
  <c r="X137" i="13"/>
  <c r="S100" i="13"/>
  <c r="AA93" i="13"/>
  <c r="S91" i="13"/>
  <c r="S96" i="13"/>
  <c r="AR93" i="13"/>
  <c r="S87" i="13"/>
  <c r="S99" i="13"/>
  <c r="S95" i="13"/>
  <c r="S90" i="13"/>
  <c r="S86" i="13"/>
  <c r="X93" i="13"/>
  <c r="S98" i="13"/>
  <c r="S94" i="13"/>
  <c r="S89" i="13"/>
  <c r="S85" i="13"/>
  <c r="U140" i="13"/>
  <c r="S97" i="13"/>
  <c r="S92" i="13"/>
  <c r="S88" i="13"/>
  <c r="S84" i="13"/>
  <c r="Z133" i="13"/>
  <c r="AB133" i="13" s="1"/>
  <c r="W137" i="13"/>
  <c r="T96" i="13"/>
  <c r="T91" i="13"/>
  <c r="T85" i="13"/>
  <c r="T100" i="13"/>
  <c r="T98" i="13"/>
  <c r="T94" i="13"/>
  <c r="T89" i="13"/>
  <c r="T87" i="13"/>
  <c r="Z138" i="13"/>
  <c r="T99" i="13"/>
  <c r="T97" i="13"/>
  <c r="T95" i="13"/>
  <c r="T92" i="13"/>
  <c r="T90" i="13"/>
  <c r="T88" i="13"/>
  <c r="T86" i="13"/>
  <c r="T84" i="13"/>
  <c r="T15" i="11"/>
  <c r="J32" i="14"/>
  <c r="J33" i="14" s="1"/>
  <c r="H32" i="14"/>
  <c r="I32" i="14"/>
  <c r="I33" i="14" s="1"/>
  <c r="O55" i="11"/>
  <c r="O71" i="11"/>
  <c r="O56" i="11"/>
  <c r="F26" i="14"/>
  <c r="P55" i="11"/>
  <c r="Q48" i="11" s="1"/>
  <c r="Y134" i="13"/>
  <c r="Z134" i="13" s="1"/>
  <c r="AB134" i="13" s="1"/>
  <c r="O69" i="11"/>
  <c r="O64" i="11"/>
  <c r="O60" i="11"/>
  <c r="O72" i="11"/>
  <c r="O68" i="11"/>
  <c r="O63" i="11"/>
  <c r="O59" i="11"/>
  <c r="O67" i="11"/>
  <c r="O62" i="11"/>
  <c r="O58" i="11"/>
  <c r="O70" i="11"/>
  <c r="O66" i="11"/>
  <c r="O61" i="11"/>
  <c r="O57" i="11"/>
  <c r="AT19" i="17"/>
  <c r="AU22" i="17"/>
  <c r="AV22" i="17" s="1"/>
  <c r="AW22" i="17" s="1"/>
  <c r="AT21" i="17"/>
  <c r="AT20" i="17"/>
  <c r="AU18" i="17"/>
  <c r="AT18" i="17"/>
  <c r="BE2" i="17"/>
  <c r="BD2" i="17"/>
  <c r="BC2" i="17"/>
  <c r="D51" i="17"/>
  <c r="F51" i="17" s="1"/>
  <c r="D50" i="17"/>
  <c r="F50" i="17" s="1"/>
  <c r="D45" i="17"/>
  <c r="D48" i="17"/>
  <c r="AS93" i="13" l="1"/>
  <c r="AJ93" i="13"/>
  <c r="AP93" i="13" s="1"/>
  <c r="X140" i="13"/>
  <c r="AH93" i="13"/>
  <c r="AN93" i="13" s="1"/>
  <c r="Z137" i="13"/>
  <c r="F18" i="14"/>
  <c r="G18" i="14" s="1"/>
  <c r="H18" i="14" s="1"/>
  <c r="AA133" i="13"/>
  <c r="AA134" i="13"/>
  <c r="H33" i="14"/>
  <c r="T101" i="13"/>
  <c r="S101" i="13"/>
  <c r="W138" i="13"/>
  <c r="X141" i="13"/>
  <c r="O42" i="11"/>
  <c r="F48" i="17"/>
  <c r="D47" i="17"/>
  <c r="F47" i="17" s="1"/>
  <c r="C54" i="17"/>
  <c r="B55" i="17"/>
  <c r="F45" i="17"/>
  <c r="D44" i="17"/>
  <c r="F44" i="17" s="1"/>
  <c r="D43" i="17"/>
  <c r="F43" i="17" s="1"/>
  <c r="B35" i="17"/>
  <c r="B36" i="17"/>
  <c r="C40" i="17"/>
  <c r="D40" i="17" s="1"/>
  <c r="D39" i="17"/>
  <c r="E35" i="17"/>
  <c r="E36" i="17" s="1"/>
  <c r="C30" i="17"/>
  <c r="AY2" i="17"/>
  <c r="T53" i="17"/>
  <c r="U53" i="17"/>
  <c r="V53" i="17"/>
  <c r="R53" i="17"/>
  <c r="Q53" i="17"/>
  <c r="T59" i="17"/>
  <c r="AA34" i="17"/>
  <c r="X59" i="17" s="1"/>
  <c r="U59" i="17"/>
  <c r="R59" i="17"/>
  <c r="Q59" i="17"/>
  <c r="AA35" i="17"/>
  <c r="X60" i="17" s="1"/>
  <c r="U60" i="17"/>
  <c r="V60" i="17"/>
  <c r="R60" i="17"/>
  <c r="Q60" i="17"/>
  <c r="T61" i="17"/>
  <c r="AA36" i="17"/>
  <c r="X61" i="17" s="1"/>
  <c r="U61" i="17"/>
  <c r="V61" i="17"/>
  <c r="R61" i="17"/>
  <c r="Q61" i="17"/>
  <c r="T62" i="17"/>
  <c r="AA37" i="17"/>
  <c r="X62" i="17" s="1"/>
  <c r="V62" i="17"/>
  <c r="T63" i="17"/>
  <c r="AA38" i="17"/>
  <c r="X63" i="17" s="1"/>
  <c r="U63" i="17"/>
  <c r="R63" i="17"/>
  <c r="Q63" i="17"/>
  <c r="T54" i="17"/>
  <c r="U54" i="17"/>
  <c r="R54" i="17"/>
  <c r="Q54" i="17"/>
  <c r="AA30" i="17"/>
  <c r="X55" i="17" s="1"/>
  <c r="U55" i="17"/>
  <c r="V55" i="17"/>
  <c r="R55" i="17"/>
  <c r="Q55" i="17"/>
  <c r="T56" i="17"/>
  <c r="AA31" i="17"/>
  <c r="X56" i="17" s="1"/>
  <c r="U56" i="17"/>
  <c r="V56" i="17"/>
  <c r="Q56" i="17"/>
  <c r="T57" i="17"/>
  <c r="X57" i="17"/>
  <c r="U57" i="17"/>
  <c r="R57" i="17"/>
  <c r="Q57" i="17"/>
  <c r="T58" i="17"/>
  <c r="AA33" i="17"/>
  <c r="X58" i="17" s="1"/>
  <c r="U58" i="17"/>
  <c r="V58" i="17"/>
  <c r="R58" i="17"/>
  <c r="Q58" i="17"/>
  <c r="T64" i="17"/>
  <c r="AA39" i="17"/>
  <c r="X64" i="17" s="1"/>
  <c r="U64" i="17"/>
  <c r="V64" i="17"/>
  <c r="R64" i="17"/>
  <c r="Q64" i="17"/>
  <c r="T65" i="17"/>
  <c r="AA40" i="17"/>
  <c r="X65" i="17" s="1"/>
  <c r="V65" i="17"/>
  <c r="Q65" i="17"/>
  <c r="T66" i="17"/>
  <c r="AA41" i="17"/>
  <c r="X66" i="17" s="1"/>
  <c r="U66" i="17"/>
  <c r="R66" i="17"/>
  <c r="Q66" i="17"/>
  <c r="T67" i="17"/>
  <c r="AA42" i="17"/>
  <c r="X67" i="17" s="1"/>
  <c r="U67" i="17"/>
  <c r="V67" i="17"/>
  <c r="R67" i="17"/>
  <c r="Q67" i="17"/>
  <c r="T68" i="17"/>
  <c r="AA43" i="17"/>
  <c r="X68" i="17" s="1"/>
  <c r="V68" i="17"/>
  <c r="R68" i="17"/>
  <c r="Q68" i="17"/>
  <c r="T69" i="17"/>
  <c r="AA44" i="17"/>
  <c r="X69" i="17" s="1"/>
  <c r="U69" i="17"/>
  <c r="V69" i="17"/>
  <c r="R69" i="17"/>
  <c r="Q69" i="17"/>
  <c r="T70" i="17"/>
  <c r="AA45" i="17"/>
  <c r="X70" i="17" s="1"/>
  <c r="U70" i="17"/>
  <c r="V70" i="17"/>
  <c r="R70" i="17"/>
  <c r="Q70" i="17"/>
  <c r="AA46" i="17"/>
  <c r="X71" i="17" s="1"/>
  <c r="U71" i="17"/>
  <c r="V71" i="17"/>
  <c r="R71" i="17"/>
  <c r="Q71" i="17"/>
  <c r="T72" i="17"/>
  <c r="AA47" i="17"/>
  <c r="X72" i="17" s="1"/>
  <c r="U72" i="17"/>
  <c r="V72" i="17"/>
  <c r="R72" i="17"/>
  <c r="Q72" i="17"/>
  <c r="T73" i="17"/>
  <c r="AA48" i="17"/>
  <c r="X73" i="17" s="1"/>
  <c r="U73" i="17"/>
  <c r="V73" i="17"/>
  <c r="R73" i="17"/>
  <c r="Q73" i="17"/>
  <c r="G59" i="17"/>
  <c r="V59" i="17"/>
  <c r="Q62" i="17"/>
  <c r="R62" i="17"/>
  <c r="U62" i="17"/>
  <c r="V63" i="17"/>
  <c r="V54" i="17"/>
  <c r="R56" i="17"/>
  <c r="V57" i="17"/>
  <c r="R65" i="17"/>
  <c r="U65" i="17"/>
  <c r="V66" i="17"/>
  <c r="U68" i="17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3" i="1"/>
  <c r="AS3" i="1"/>
  <c r="AR3" i="1"/>
  <c r="AU1" i="17"/>
  <c r="AO42" i="13"/>
  <c r="H9" i="7"/>
  <c r="F9" i="7"/>
  <c r="AO37" i="13"/>
  <c r="AO47" i="13" s="1"/>
  <c r="AP36" i="13"/>
  <c r="AO36" i="13"/>
  <c r="AN44" i="13"/>
  <c r="AN45" i="13" s="1"/>
  <c r="T28" i="13"/>
  <c r="U28" i="13" s="1"/>
  <c r="F2" i="8"/>
  <c r="AN35" i="13"/>
  <c r="Y65" i="13"/>
  <c r="AM31" i="13"/>
  <c r="K4" i="17"/>
  <c r="L4" i="17"/>
  <c r="T30" i="13"/>
  <c r="E33" i="14" l="1"/>
  <c r="AO38" i="13"/>
  <c r="AO39" i="13" s="1"/>
  <c r="O73" i="11"/>
  <c r="M21" i="11"/>
  <c r="O49" i="11" s="1"/>
  <c r="P49" i="11" s="1"/>
  <c r="O18" i="11"/>
  <c r="AX4" i="17"/>
  <c r="BC4" i="17"/>
  <c r="AW4" i="17"/>
  <c r="AW5" i="17" s="1"/>
  <c r="AW12" i="17" s="1"/>
  <c r="BD4" i="17"/>
  <c r="BE4" i="17"/>
  <c r="AU4" i="17"/>
  <c r="AV4" i="17"/>
  <c r="AY4" i="17"/>
  <c r="F35" i="17"/>
  <c r="AZ4" i="17"/>
  <c r="BA4" i="17"/>
  <c r="BB4" i="17"/>
  <c r="BB11" i="17" s="1"/>
  <c r="AT11" i="17"/>
  <c r="T55" i="17"/>
  <c r="T60" i="17"/>
  <c r="T71" i="17"/>
  <c r="I20" i="12"/>
  <c r="P23" i="12"/>
  <c r="H21" i="12"/>
  <c r="J20" i="12"/>
  <c r="M24" i="12"/>
  <c r="P24" i="12"/>
  <c r="I24" i="12"/>
  <c r="Q30" i="12"/>
  <c r="I26" i="12"/>
  <c r="I36" i="12"/>
  <c r="T4" i="12"/>
  <c r="S4" i="12"/>
  <c r="U3" i="12"/>
  <c r="Q20" i="12"/>
  <c r="N20" i="12"/>
  <c r="G20" i="12"/>
  <c r="D27" i="12"/>
  <c r="D26" i="12"/>
  <c r="C26" i="12"/>
  <c r="C17" i="12"/>
  <c r="AW11" i="17" l="1"/>
  <c r="B46" i="17" s="1"/>
  <c r="D46" i="17" s="1"/>
  <c r="F46" i="17" s="1"/>
  <c r="Q18" i="11"/>
  <c r="BD11" i="17"/>
  <c r="BD5" i="17"/>
  <c r="BD12" i="17" s="1"/>
  <c r="AZ5" i="17"/>
  <c r="AZ12" i="17" s="1"/>
  <c r="AZ11" i="17"/>
  <c r="BC11" i="17"/>
  <c r="BC5" i="17"/>
  <c r="BC12" i="17" s="1"/>
  <c r="BE11" i="17"/>
  <c r="BE5" i="17"/>
  <c r="BE12" i="17" s="1"/>
  <c r="AX11" i="17"/>
  <c r="AX5" i="17"/>
  <c r="AX12" i="17" s="1"/>
  <c r="AT5" i="17"/>
  <c r="AT12" i="17" s="1"/>
  <c r="AY5" i="17"/>
  <c r="AY12" i="17" s="1"/>
  <c r="AY11" i="17"/>
  <c r="BB5" i="17"/>
  <c r="BB12" i="17" s="1"/>
  <c r="AV11" i="17"/>
  <c r="AV5" i="17"/>
  <c r="AV12" i="17" s="1"/>
  <c r="BA11" i="17"/>
  <c r="BA5" i="17"/>
  <c r="BA12" i="17" s="1"/>
  <c r="AU11" i="17"/>
  <c r="AU5" i="17"/>
  <c r="AU12" i="17" s="1"/>
  <c r="S2" i="12"/>
  <c r="H2" i="12"/>
  <c r="T2" i="12" l="1"/>
  <c r="R3" i="12" s="1"/>
  <c r="S3" i="12" s="1"/>
  <c r="D13" i="12"/>
  <c r="M2" i="12"/>
  <c r="I2" i="12"/>
  <c r="G10" i="12"/>
  <c r="F10" i="12"/>
  <c r="K3" i="12"/>
  <c r="N2" i="12" l="1"/>
  <c r="T3" i="12"/>
  <c r="R4" i="12" s="1"/>
  <c r="F3" i="12"/>
  <c r="J29" i="13"/>
  <c r="D2" i="12"/>
  <c r="J30" i="13" l="1"/>
  <c r="J31" i="13" s="1"/>
  <c r="J32" i="13" s="1"/>
  <c r="R5" i="12"/>
  <c r="E26" i="12"/>
  <c r="L18" i="12"/>
  <c r="M18" i="12" s="1"/>
  <c r="S17" i="12"/>
  <c r="C9" i="14"/>
  <c r="C8" i="14"/>
  <c r="C7" i="14"/>
  <c r="Q32" i="12"/>
  <c r="I28" i="12"/>
  <c r="I29" i="12"/>
  <c r="P14" i="12"/>
  <c r="I14" i="12"/>
  <c r="AC9" i="12"/>
  <c r="AC10" i="12"/>
  <c r="AB12" i="12"/>
  <c r="AA12" i="12"/>
  <c r="Z12" i="12"/>
  <c r="Y12" i="12"/>
  <c r="X12" i="12"/>
  <c r="F19" i="14" l="1"/>
  <c r="G19" i="14" s="1"/>
  <c r="H19" i="14" s="1"/>
  <c r="S5" i="12"/>
  <c r="T5" i="12" s="1"/>
  <c r="R6" i="12" s="1"/>
  <c r="C27" i="12"/>
  <c r="AC12" i="12"/>
  <c r="E2" i="12"/>
  <c r="C3" i="12" s="1"/>
  <c r="W7" i="12"/>
  <c r="Y7" i="12"/>
  <c r="Z7" i="12"/>
  <c r="AA7" i="12"/>
  <c r="AB7" i="12"/>
  <c r="X7" i="12"/>
  <c r="C11" i="14" l="1"/>
  <c r="N28" i="11"/>
  <c r="S6" i="12"/>
  <c r="T6" i="12" s="1"/>
  <c r="R7" i="12" s="1"/>
  <c r="E27" i="12"/>
  <c r="C28" i="12" s="1"/>
  <c r="D28" i="12" s="1"/>
  <c r="AC7" i="12"/>
  <c r="D3" i="12"/>
  <c r="E3" i="12" s="1"/>
  <c r="C4" i="12" s="1"/>
  <c r="S7" i="12" l="1"/>
  <c r="T7" i="12" s="1"/>
  <c r="R8" i="12" s="1"/>
  <c r="E28" i="12"/>
  <c r="C29" i="12" s="1"/>
  <c r="D29" i="12" s="1"/>
  <c r="D4" i="12"/>
  <c r="E4" i="12" s="1"/>
  <c r="C5" i="12" s="1"/>
  <c r="G3" i="1"/>
  <c r="S8" i="12" l="1"/>
  <c r="T8" i="12" s="1"/>
  <c r="E29" i="12"/>
  <c r="D5" i="12"/>
  <c r="E5" i="12" s="1"/>
  <c r="C30" i="12" l="1"/>
  <c r="E10" i="12"/>
  <c r="C6" i="12"/>
  <c r="T51" i="13"/>
  <c r="R101" i="13"/>
  <c r="U83" i="13" s="1"/>
  <c r="X28" i="13"/>
  <c r="Y28" i="13" s="1"/>
  <c r="U52" i="13"/>
  <c r="U53" i="13"/>
  <c r="U54" i="13"/>
  <c r="U55" i="13"/>
  <c r="U56" i="13"/>
  <c r="U57" i="13"/>
  <c r="U58" i="13"/>
  <c r="U59" i="13"/>
  <c r="U60" i="13"/>
  <c r="U61" i="13"/>
  <c r="U62" i="13"/>
  <c r="U63" i="13"/>
  <c r="U64" i="13"/>
  <c r="U65" i="13"/>
  <c r="U66" i="13"/>
  <c r="U67" i="13"/>
  <c r="U68" i="13"/>
  <c r="U69" i="13"/>
  <c r="U70" i="13"/>
  <c r="U71" i="13"/>
  <c r="U51" i="13"/>
  <c r="V53" i="13"/>
  <c r="AH30" i="1"/>
  <c r="AH29" i="1"/>
  <c r="F5" i="7"/>
  <c r="T77" i="13"/>
  <c r="U77" i="13" s="1"/>
  <c r="T76" i="13"/>
  <c r="U76" i="13" s="1"/>
  <c r="T52" i="13"/>
  <c r="T53" i="13"/>
  <c r="T54" i="13"/>
  <c r="T55" i="13"/>
  <c r="T56" i="13"/>
  <c r="T57" i="13"/>
  <c r="T58" i="13"/>
  <c r="T59" i="13"/>
  <c r="T60" i="13"/>
  <c r="T61" i="13"/>
  <c r="T62" i="13"/>
  <c r="T63" i="13"/>
  <c r="T64" i="13"/>
  <c r="T65" i="13"/>
  <c r="T66" i="13"/>
  <c r="T67" i="13"/>
  <c r="T68" i="13"/>
  <c r="T69" i="13"/>
  <c r="T70" i="13"/>
  <c r="T71" i="13"/>
  <c r="X52" i="13"/>
  <c r="Y52" i="13"/>
  <c r="Z52" i="13"/>
  <c r="X53" i="13"/>
  <c r="Y53" i="13"/>
  <c r="Z53" i="13"/>
  <c r="X54" i="13"/>
  <c r="Y54" i="13"/>
  <c r="Z54" i="13"/>
  <c r="X55" i="13"/>
  <c r="Y55" i="13"/>
  <c r="Z55" i="13"/>
  <c r="X56" i="13"/>
  <c r="Y56" i="13"/>
  <c r="Z56" i="13"/>
  <c r="X57" i="13"/>
  <c r="Y57" i="13"/>
  <c r="Z57" i="13"/>
  <c r="X58" i="13"/>
  <c r="Y58" i="13"/>
  <c r="Z58" i="13"/>
  <c r="X59" i="13"/>
  <c r="Y59" i="13"/>
  <c r="Z59" i="13"/>
  <c r="X60" i="13"/>
  <c r="Y60" i="13"/>
  <c r="Z60" i="13"/>
  <c r="X61" i="13"/>
  <c r="Y61" i="13"/>
  <c r="Z61" i="13"/>
  <c r="X62" i="13"/>
  <c r="Y62" i="13"/>
  <c r="Z62" i="13"/>
  <c r="X63" i="13"/>
  <c r="Y63" i="13"/>
  <c r="Z63" i="13"/>
  <c r="X64" i="13"/>
  <c r="Y64" i="13"/>
  <c r="Z64" i="13"/>
  <c r="X65" i="13"/>
  <c r="Z65" i="13"/>
  <c r="X66" i="13"/>
  <c r="Y66" i="13"/>
  <c r="Z66" i="13"/>
  <c r="X67" i="13"/>
  <c r="Y67" i="13"/>
  <c r="Z67" i="13"/>
  <c r="X68" i="13"/>
  <c r="Y68" i="13"/>
  <c r="Z68" i="13"/>
  <c r="X69" i="13"/>
  <c r="Y69" i="13"/>
  <c r="Z69" i="13"/>
  <c r="X70" i="13"/>
  <c r="Y70" i="13"/>
  <c r="Z70" i="13"/>
  <c r="X71" i="13"/>
  <c r="Y71" i="13"/>
  <c r="Z71" i="13"/>
  <c r="Z51" i="13"/>
  <c r="Y51" i="13"/>
  <c r="X51" i="13"/>
  <c r="W52" i="13"/>
  <c r="W53" i="13"/>
  <c r="W54" i="13"/>
  <c r="W55" i="13"/>
  <c r="W56" i="13"/>
  <c r="W57" i="13"/>
  <c r="W58" i="13"/>
  <c r="W59" i="13"/>
  <c r="W60" i="13"/>
  <c r="W61" i="13"/>
  <c r="W62" i="13"/>
  <c r="W63" i="13"/>
  <c r="W64" i="13"/>
  <c r="W65" i="13"/>
  <c r="W66" i="13"/>
  <c r="W67" i="13"/>
  <c r="W68" i="13"/>
  <c r="W69" i="13"/>
  <c r="W70" i="13"/>
  <c r="W71" i="13"/>
  <c r="W51" i="13"/>
  <c r="V52" i="13"/>
  <c r="V54" i="13"/>
  <c r="V55" i="13"/>
  <c r="V56" i="13"/>
  <c r="V57" i="13"/>
  <c r="V58" i="13"/>
  <c r="V59" i="13"/>
  <c r="V60" i="13"/>
  <c r="V61" i="13"/>
  <c r="V62" i="13"/>
  <c r="V63" i="13"/>
  <c r="V64" i="13"/>
  <c r="V65" i="13"/>
  <c r="V66" i="13"/>
  <c r="V67" i="13"/>
  <c r="V68" i="13"/>
  <c r="V69" i="13"/>
  <c r="V70" i="13"/>
  <c r="V71" i="13"/>
  <c r="V51" i="13"/>
  <c r="F4" i="7"/>
  <c r="AV3" i="1" s="1"/>
  <c r="M27" i="6"/>
  <c r="L27" i="6"/>
  <c r="Q27" i="6"/>
  <c r="Q33" i="6"/>
  <c r="M33" i="6"/>
  <c r="L33" i="6"/>
  <c r="H33" i="6"/>
  <c r="L18" i="6"/>
  <c r="Q10" i="6"/>
  <c r="P22" i="6"/>
  <c r="Q22" i="6" s="1"/>
  <c r="L22" i="6"/>
  <c r="AB28" i="13"/>
  <c r="AC28" i="13" s="1"/>
  <c r="AB39" i="13"/>
  <c r="AC39" i="13" s="1"/>
  <c r="AB40" i="13"/>
  <c r="AC40" i="13" s="1"/>
  <c r="AB41" i="13"/>
  <c r="AC41" i="13" s="1"/>
  <c r="AB42" i="13"/>
  <c r="AC42" i="13" s="1"/>
  <c r="AB43" i="13"/>
  <c r="AC43" i="13" s="1"/>
  <c r="AB44" i="13"/>
  <c r="AC44" i="13" s="1"/>
  <c r="AB45" i="13"/>
  <c r="AC45" i="13" s="1"/>
  <c r="AB46" i="13"/>
  <c r="AC46" i="13" s="1"/>
  <c r="AB47" i="13"/>
  <c r="AC47" i="13" s="1"/>
  <c r="AB48" i="13"/>
  <c r="AC48" i="13" s="1"/>
  <c r="AB29" i="13"/>
  <c r="AC29" i="13" s="1"/>
  <c r="AB30" i="13"/>
  <c r="AC30" i="13" s="1"/>
  <c r="AB31" i="13"/>
  <c r="AC31" i="13" s="1"/>
  <c r="AB32" i="13"/>
  <c r="AC32" i="13" s="1"/>
  <c r="AB33" i="13"/>
  <c r="AC33" i="13" s="1"/>
  <c r="AB34" i="13"/>
  <c r="AC34" i="13" s="1"/>
  <c r="AB35" i="13"/>
  <c r="AC35" i="13" s="1"/>
  <c r="AB36" i="13"/>
  <c r="AC36" i="13" s="1"/>
  <c r="AB37" i="13"/>
  <c r="AC37" i="13" s="1"/>
  <c r="AB38" i="13"/>
  <c r="AC38" i="13" s="1"/>
  <c r="X48" i="13"/>
  <c r="Y48" i="13" s="1"/>
  <c r="X47" i="13"/>
  <c r="Y47" i="13" s="1"/>
  <c r="X46" i="13"/>
  <c r="Y46" i="13" s="1"/>
  <c r="X45" i="13"/>
  <c r="Y45" i="13" s="1"/>
  <c r="X44" i="13"/>
  <c r="Y44" i="13" s="1"/>
  <c r="X43" i="13"/>
  <c r="Y43" i="13" s="1"/>
  <c r="X42" i="13"/>
  <c r="Y42" i="13" s="1"/>
  <c r="X41" i="13"/>
  <c r="Y41" i="13" s="1"/>
  <c r="X40" i="13"/>
  <c r="Y40" i="13" s="1"/>
  <c r="X39" i="13"/>
  <c r="Y39" i="13" s="1"/>
  <c r="X29" i="13"/>
  <c r="Y29" i="13" s="1"/>
  <c r="X30" i="13"/>
  <c r="Y30" i="13" s="1"/>
  <c r="X31" i="13"/>
  <c r="Y31" i="13" s="1"/>
  <c r="X32" i="13"/>
  <c r="Y32" i="13" s="1"/>
  <c r="X33" i="13"/>
  <c r="Y33" i="13" s="1"/>
  <c r="X34" i="13"/>
  <c r="Y34" i="13" s="1"/>
  <c r="X35" i="13"/>
  <c r="Y35" i="13" s="1"/>
  <c r="X36" i="13"/>
  <c r="Y36" i="13" s="1"/>
  <c r="X37" i="13"/>
  <c r="Y37" i="13" s="1"/>
  <c r="X38" i="13"/>
  <c r="Y38" i="13" s="1"/>
  <c r="T39" i="13"/>
  <c r="U39" i="13" s="1"/>
  <c r="T40" i="13"/>
  <c r="U40" i="13" s="1"/>
  <c r="T41" i="13"/>
  <c r="U41" i="13" s="1"/>
  <c r="T42" i="13"/>
  <c r="U42" i="13" s="1"/>
  <c r="T43" i="13"/>
  <c r="U43" i="13" s="1"/>
  <c r="T44" i="13"/>
  <c r="U44" i="13" s="1"/>
  <c r="T45" i="13"/>
  <c r="U45" i="13" s="1"/>
  <c r="T46" i="13"/>
  <c r="U46" i="13" s="1"/>
  <c r="T47" i="13"/>
  <c r="U47" i="13" s="1"/>
  <c r="T48" i="13"/>
  <c r="U48" i="13" s="1"/>
  <c r="T29" i="13"/>
  <c r="U29" i="13" s="1"/>
  <c r="U30" i="13"/>
  <c r="T31" i="13"/>
  <c r="U31" i="13" s="1"/>
  <c r="T32" i="13"/>
  <c r="U32" i="13" s="1"/>
  <c r="T33" i="13"/>
  <c r="U33" i="13" s="1"/>
  <c r="T34" i="13"/>
  <c r="U34" i="13" s="1"/>
  <c r="T35" i="13"/>
  <c r="U35" i="13" s="1"/>
  <c r="T36" i="13"/>
  <c r="U36" i="13" s="1"/>
  <c r="T37" i="13"/>
  <c r="U37" i="13" s="1"/>
  <c r="T38" i="13"/>
  <c r="U38" i="13" s="1"/>
  <c r="J2" i="12"/>
  <c r="H3" i="12" s="1"/>
  <c r="I3" i="12" s="1"/>
  <c r="Q5" i="6"/>
  <c r="D5" i="6"/>
  <c r="L5" i="6"/>
  <c r="H6" i="6"/>
  <c r="H7" i="6"/>
  <c r="H8" i="6"/>
  <c r="H5" i="6"/>
  <c r="W83" i="13" l="1"/>
  <c r="V83" i="13"/>
  <c r="U86" i="13"/>
  <c r="M19" i="11"/>
  <c r="N49" i="11" s="1"/>
  <c r="P57" i="11"/>
  <c r="P61" i="11"/>
  <c r="P66" i="11"/>
  <c r="P70" i="11"/>
  <c r="A18" i="11"/>
  <c r="P64" i="11"/>
  <c r="P58" i="11"/>
  <c r="P62" i="11"/>
  <c r="P67" i="11"/>
  <c r="P71" i="11"/>
  <c r="P56" i="11"/>
  <c r="P60" i="11"/>
  <c r="P69" i="11"/>
  <c r="P59" i="11"/>
  <c r="P63" i="11"/>
  <c r="P68" i="11"/>
  <c r="P72" i="11"/>
  <c r="M22" i="6"/>
  <c r="D30" i="12"/>
  <c r="E30" i="12"/>
  <c r="C31" i="12" s="1"/>
  <c r="D31" i="12" s="1"/>
  <c r="D6" i="12"/>
  <c r="E6" i="12" s="1"/>
  <c r="C7" i="12" s="1"/>
  <c r="O15" i="11"/>
  <c r="F27" i="14" s="1"/>
  <c r="U98" i="13"/>
  <c r="U85" i="13"/>
  <c r="U97" i="13"/>
  <c r="U92" i="13"/>
  <c r="U88" i="13"/>
  <c r="U84" i="13"/>
  <c r="U94" i="13"/>
  <c r="U100" i="13"/>
  <c r="U96" i="13"/>
  <c r="U91" i="13"/>
  <c r="U87" i="13"/>
  <c r="U89" i="13"/>
  <c r="U99" i="13"/>
  <c r="U95" i="13"/>
  <c r="U90" i="13"/>
  <c r="D33" i="6"/>
  <c r="J3" i="12"/>
  <c r="H4" i="12" s="1"/>
  <c r="I4" i="12" s="1"/>
  <c r="X83" i="13" l="1"/>
  <c r="Z83" i="13"/>
  <c r="Y83" i="13"/>
  <c r="AA83" i="13"/>
  <c r="AS83" i="13" s="1"/>
  <c r="K27" i="14"/>
  <c r="K35" i="14" s="1"/>
  <c r="H27" i="14"/>
  <c r="H35" i="14" s="1"/>
  <c r="J27" i="14"/>
  <c r="J35" i="14" s="1"/>
  <c r="I27" i="14"/>
  <c r="I35" i="14" s="1"/>
  <c r="G27" i="14"/>
  <c r="G35" i="14" s="1"/>
  <c r="M22" i="11"/>
  <c r="N48" i="11" s="1"/>
  <c r="P73" i="11"/>
  <c r="O19" i="11"/>
  <c r="Q19" i="11" s="1"/>
  <c r="N29" i="11" s="1"/>
  <c r="P15" i="11"/>
  <c r="V85" i="13"/>
  <c r="W85" i="13"/>
  <c r="V86" i="13"/>
  <c r="W86" i="13"/>
  <c r="V99" i="13"/>
  <c r="W99" i="13"/>
  <c r="V96" i="13"/>
  <c r="W96" i="13"/>
  <c r="V88" i="13"/>
  <c r="W88" i="13"/>
  <c r="V98" i="13"/>
  <c r="W98" i="13"/>
  <c r="V91" i="13"/>
  <c r="W91" i="13"/>
  <c r="V89" i="13"/>
  <c r="W89" i="13"/>
  <c r="V100" i="13"/>
  <c r="Z100" i="13" s="1"/>
  <c r="AG100" i="13" s="1"/>
  <c r="AM100" i="13" s="1"/>
  <c r="W100" i="13"/>
  <c r="V92" i="13"/>
  <c r="W92" i="13"/>
  <c r="V95" i="13"/>
  <c r="W95" i="13"/>
  <c r="V84" i="13"/>
  <c r="Z84" i="13" s="1"/>
  <c r="W84" i="13"/>
  <c r="V90" i="13"/>
  <c r="W90" i="13"/>
  <c r="V87" i="13"/>
  <c r="W87" i="13"/>
  <c r="V94" i="13"/>
  <c r="W94" i="13"/>
  <c r="V97" i="13"/>
  <c r="W97" i="13"/>
  <c r="D7" i="12"/>
  <c r="E7" i="12" s="1"/>
  <c r="C8" i="12" s="1"/>
  <c r="J4" i="12"/>
  <c r="H5" i="12" s="1"/>
  <c r="I5" i="12" s="1"/>
  <c r="BD5" i="1"/>
  <c r="BE5" i="1" s="1"/>
  <c r="AV4" i="1"/>
  <c r="AW4" i="1" s="1"/>
  <c r="AV5" i="1"/>
  <c r="AW5" i="1" s="1"/>
  <c r="AV6" i="1"/>
  <c r="AW6" i="1" s="1"/>
  <c r="AV7" i="1"/>
  <c r="AW7" i="1" s="1"/>
  <c r="AV8" i="1"/>
  <c r="AW8" i="1" s="1"/>
  <c r="AV9" i="1"/>
  <c r="AW9" i="1" s="1"/>
  <c r="AV10" i="1"/>
  <c r="AW10" i="1" s="1"/>
  <c r="AV11" i="1"/>
  <c r="AW11" i="1" s="1"/>
  <c r="AV12" i="1"/>
  <c r="AW12" i="1" s="1"/>
  <c r="AV13" i="1"/>
  <c r="AW13" i="1" s="1"/>
  <c r="AV14" i="1"/>
  <c r="AW14" i="1" s="1"/>
  <c r="AV15" i="1"/>
  <c r="AW15" i="1" s="1"/>
  <c r="AV16" i="1"/>
  <c r="AW16" i="1" s="1"/>
  <c r="AV17" i="1"/>
  <c r="AW17" i="1" s="1"/>
  <c r="AV18" i="1"/>
  <c r="AW18" i="1" s="1"/>
  <c r="AV19" i="1"/>
  <c r="AW19" i="1" s="1"/>
  <c r="AV20" i="1"/>
  <c r="AW20" i="1" s="1"/>
  <c r="AV21" i="1"/>
  <c r="AW21" i="1" s="1"/>
  <c r="AV22" i="1"/>
  <c r="AW22" i="1" s="1"/>
  <c r="AV23" i="1"/>
  <c r="AW23" i="1" s="1"/>
  <c r="AW3" i="1"/>
  <c r="AR4" i="1"/>
  <c r="AR83" i="13" l="1"/>
  <c r="AJ83" i="13"/>
  <c r="AP83" i="13" s="1"/>
  <c r="AI83" i="13"/>
  <c r="AH83" i="13"/>
  <c r="AN83" i="13" s="1"/>
  <c r="Z97" i="13"/>
  <c r="X97" i="13"/>
  <c r="AC84" i="13"/>
  <c r="X84" i="13"/>
  <c r="Z89" i="13"/>
  <c r="AC89" i="13" s="1"/>
  <c r="X89" i="13"/>
  <c r="Z96" i="13"/>
  <c r="AC96" i="13" s="1"/>
  <c r="X96" i="13"/>
  <c r="Y94" i="13"/>
  <c r="AA94" i="13"/>
  <c r="Y90" i="13"/>
  <c r="AA90" i="13"/>
  <c r="Y91" i="13"/>
  <c r="AA91" i="13"/>
  <c r="AA88" i="13"/>
  <c r="Y88" i="13"/>
  <c r="Y85" i="13"/>
  <c r="AA85" i="13"/>
  <c r="Z90" i="13"/>
  <c r="AC90" i="13" s="1"/>
  <c r="X90" i="13"/>
  <c r="X95" i="13"/>
  <c r="Z95" i="13"/>
  <c r="AC95" i="13" s="1"/>
  <c r="AC100" i="13"/>
  <c r="X100" i="13"/>
  <c r="X91" i="13"/>
  <c r="Z91" i="13"/>
  <c r="AC91" i="13" s="1"/>
  <c r="Z88" i="13"/>
  <c r="AC88" i="13" s="1"/>
  <c r="X88" i="13"/>
  <c r="X99" i="13"/>
  <c r="Z99" i="13"/>
  <c r="AC99" i="13" s="1"/>
  <c r="Z85" i="13"/>
  <c r="X85" i="13"/>
  <c r="AU83" i="13"/>
  <c r="X87" i="13"/>
  <c r="Z87" i="13"/>
  <c r="AC87" i="13" s="1"/>
  <c r="Z92" i="13"/>
  <c r="AC92" i="13" s="1"/>
  <c r="X92" i="13"/>
  <c r="Z98" i="13"/>
  <c r="AC98" i="13" s="1"/>
  <c r="X98" i="13"/>
  <c r="Z86" i="13"/>
  <c r="AC86" i="13" s="1"/>
  <c r="X86" i="13"/>
  <c r="Y95" i="13"/>
  <c r="AA95" i="13"/>
  <c r="Y100" i="13"/>
  <c r="AA100" i="13"/>
  <c r="AA99" i="13"/>
  <c r="Y99" i="13"/>
  <c r="Z94" i="13"/>
  <c r="AC94" i="13" s="1"/>
  <c r="X94" i="13"/>
  <c r="AA97" i="13"/>
  <c r="Y97" i="13"/>
  <c r="AA87" i="13"/>
  <c r="Y87" i="13"/>
  <c r="AA84" i="13"/>
  <c r="Y84" i="13"/>
  <c r="AA92" i="13"/>
  <c r="Y92" i="13"/>
  <c r="Y89" i="13"/>
  <c r="AA89" i="13"/>
  <c r="Y98" i="13"/>
  <c r="AA98" i="13"/>
  <c r="AA96" i="13"/>
  <c r="Y96" i="13"/>
  <c r="Y86" i="13"/>
  <c r="AA86" i="13"/>
  <c r="V15" i="11"/>
  <c r="E35" i="14"/>
  <c r="D35" i="14" s="1"/>
  <c r="N30" i="11"/>
  <c r="E31" i="12"/>
  <c r="C32" i="12" s="1"/>
  <c r="D32" i="12" s="1"/>
  <c r="BD18" i="1"/>
  <c r="BE18" i="1" s="1"/>
  <c r="D8" i="12"/>
  <c r="E8" i="12" s="1"/>
  <c r="E11" i="12" s="1"/>
  <c r="BD17" i="1"/>
  <c r="BE17" i="1" s="1"/>
  <c r="BD11" i="1"/>
  <c r="BE11" i="1" s="1"/>
  <c r="BD14" i="1"/>
  <c r="BE14" i="1" s="1"/>
  <c r="BD21" i="1"/>
  <c r="BE21" i="1" s="1"/>
  <c r="BD13" i="1"/>
  <c r="BE13" i="1" s="1"/>
  <c r="BD8" i="1"/>
  <c r="BE8" i="1" s="1"/>
  <c r="BD3" i="1"/>
  <c r="BE3" i="1" s="1"/>
  <c r="BD23" i="1"/>
  <c r="BE23" i="1" s="1"/>
  <c r="BD20" i="1"/>
  <c r="BE20" i="1" s="1"/>
  <c r="BD16" i="1"/>
  <c r="BE16" i="1" s="1"/>
  <c r="BD12" i="1"/>
  <c r="BE12" i="1" s="1"/>
  <c r="BD6" i="1"/>
  <c r="BE6" i="1" s="1"/>
  <c r="BD10" i="1"/>
  <c r="BE10" i="1" s="1"/>
  <c r="BD7" i="1"/>
  <c r="BE7" i="1" s="1"/>
  <c r="BD4" i="1"/>
  <c r="BE4" i="1" s="1"/>
  <c r="BD22" i="1"/>
  <c r="BE22" i="1" s="1"/>
  <c r="BD19" i="1"/>
  <c r="BE19" i="1" s="1"/>
  <c r="BD15" i="1"/>
  <c r="BE15" i="1" s="1"/>
  <c r="BD9" i="1"/>
  <c r="BE9" i="1" s="1"/>
  <c r="J5" i="12"/>
  <c r="J9" i="12" s="1"/>
  <c r="AR6" i="1"/>
  <c r="AS6" i="1" s="1"/>
  <c r="AR7" i="1"/>
  <c r="AS7" i="1" s="1"/>
  <c r="AR8" i="1"/>
  <c r="AS8" i="1" s="1"/>
  <c r="AR9" i="1"/>
  <c r="AS9" i="1" s="1"/>
  <c r="AR10" i="1"/>
  <c r="AS10" i="1" s="1"/>
  <c r="AR11" i="1"/>
  <c r="AS11" i="1" s="1"/>
  <c r="AR12" i="1"/>
  <c r="AS12" i="1" s="1"/>
  <c r="AR13" i="1"/>
  <c r="AS13" i="1" s="1"/>
  <c r="AR14" i="1"/>
  <c r="AS14" i="1" s="1"/>
  <c r="AR15" i="1"/>
  <c r="AS15" i="1" s="1"/>
  <c r="AR16" i="1"/>
  <c r="AS16" i="1" s="1"/>
  <c r="AR17" i="1"/>
  <c r="AS17" i="1" s="1"/>
  <c r="AR18" i="1"/>
  <c r="AS18" i="1" s="1"/>
  <c r="AR19" i="1"/>
  <c r="AS19" i="1" s="1"/>
  <c r="AR20" i="1"/>
  <c r="AS20" i="1" s="1"/>
  <c r="AR21" i="1"/>
  <c r="AS21" i="1" s="1"/>
  <c r="AR22" i="1"/>
  <c r="AS22" i="1" s="1"/>
  <c r="AR23" i="1"/>
  <c r="AS23" i="1" s="1"/>
  <c r="AS4" i="1"/>
  <c r="AL21" i="1"/>
  <c r="AM21" i="1" s="1"/>
  <c r="AN21" i="1" s="1"/>
  <c r="AL23" i="1"/>
  <c r="AM23" i="1" s="1"/>
  <c r="AN23" i="1" s="1"/>
  <c r="AL17" i="1"/>
  <c r="AM17" i="1" s="1"/>
  <c r="AN17" i="1" s="1"/>
  <c r="AL5" i="1"/>
  <c r="AM5" i="1" s="1"/>
  <c r="AF17" i="1"/>
  <c r="AG17" i="1" s="1"/>
  <c r="AH17" i="1" s="1"/>
  <c r="AF21" i="1"/>
  <c r="AG21" i="1" s="1"/>
  <c r="AH21" i="1" s="1"/>
  <c r="AF5" i="1"/>
  <c r="AG5" i="1" s="1"/>
  <c r="AH5" i="1" s="1"/>
  <c r="W16" i="1"/>
  <c r="X16" i="1" s="1"/>
  <c r="D2" i="8"/>
  <c r="F3" i="7"/>
  <c r="F14" i="7"/>
  <c r="G8" i="1"/>
  <c r="H8" i="1" s="1"/>
  <c r="J8" i="1"/>
  <c r="L8" i="1"/>
  <c r="M8" i="1" s="1"/>
  <c r="O8" i="1"/>
  <c r="P8" i="1" s="1"/>
  <c r="G9" i="1"/>
  <c r="H9" i="1" s="1"/>
  <c r="J9" i="1"/>
  <c r="L9" i="1"/>
  <c r="M9" i="1" s="1"/>
  <c r="O9" i="1"/>
  <c r="P9" i="1" s="1"/>
  <c r="G10" i="1"/>
  <c r="H10" i="1" s="1"/>
  <c r="J10" i="1"/>
  <c r="L10" i="1"/>
  <c r="M10" i="1" s="1"/>
  <c r="O10" i="1"/>
  <c r="P10" i="1" s="1"/>
  <c r="G11" i="1"/>
  <c r="H11" i="1" s="1"/>
  <c r="J11" i="1"/>
  <c r="L11" i="1"/>
  <c r="M11" i="1" s="1"/>
  <c r="O11" i="1"/>
  <c r="P11" i="1" s="1"/>
  <c r="G12" i="1"/>
  <c r="H12" i="1" s="1"/>
  <c r="J12" i="1"/>
  <c r="L12" i="1"/>
  <c r="M12" i="1" s="1"/>
  <c r="O12" i="1"/>
  <c r="P12" i="1" s="1"/>
  <c r="G13" i="1"/>
  <c r="H13" i="1" s="1"/>
  <c r="J13" i="1"/>
  <c r="L13" i="1"/>
  <c r="M13" i="1" s="1"/>
  <c r="O13" i="1"/>
  <c r="P13" i="1" s="1"/>
  <c r="G14" i="1"/>
  <c r="H14" i="1" s="1"/>
  <c r="J14" i="1"/>
  <c r="L14" i="1"/>
  <c r="M14" i="1" s="1"/>
  <c r="O14" i="1"/>
  <c r="P14" i="1" s="1"/>
  <c r="G15" i="1"/>
  <c r="H15" i="1" s="1"/>
  <c r="J15" i="1"/>
  <c r="L15" i="1"/>
  <c r="M15" i="1" s="1"/>
  <c r="O15" i="1"/>
  <c r="P15" i="1" s="1"/>
  <c r="W17" i="1"/>
  <c r="X17" i="1" s="1"/>
  <c r="Y17" i="1" s="1"/>
  <c r="W21" i="1"/>
  <c r="X21" i="1" s="1"/>
  <c r="Y21" i="1" s="1"/>
  <c r="W23" i="1"/>
  <c r="X23" i="1" s="1"/>
  <c r="Y23" i="1" s="1"/>
  <c r="W6" i="1"/>
  <c r="X6" i="1" s="1"/>
  <c r="W7" i="1"/>
  <c r="X7" i="1" s="1"/>
  <c r="F20" i="7"/>
  <c r="F6" i="7"/>
  <c r="F7" i="7"/>
  <c r="F8" i="7"/>
  <c r="F10" i="7"/>
  <c r="F11" i="7"/>
  <c r="F12" i="7"/>
  <c r="F13" i="7"/>
  <c r="AI21" i="1" s="1"/>
  <c r="AJ21" i="1" s="1"/>
  <c r="AK21" i="1" s="1"/>
  <c r="F15" i="7"/>
  <c r="F17" i="7"/>
  <c r="F18" i="7"/>
  <c r="F19" i="7"/>
  <c r="F22" i="7"/>
  <c r="F23" i="7"/>
  <c r="F24" i="7"/>
  <c r="F25" i="7"/>
  <c r="Z21" i="1" s="1"/>
  <c r="AA21" i="1" s="1"/>
  <c r="AB21" i="1" s="1"/>
  <c r="F26" i="7"/>
  <c r="F27" i="7"/>
  <c r="AC21" i="1" s="1"/>
  <c r="AD21" i="1" s="1"/>
  <c r="AE21" i="1" s="1"/>
  <c r="F28" i="7"/>
  <c r="F29" i="7"/>
  <c r="F30" i="7"/>
  <c r="F31" i="7"/>
  <c r="J2" i="7"/>
  <c r="K2" i="7" s="1"/>
  <c r="L2" i="7" s="1"/>
  <c r="D27" i="6"/>
  <c r="D28" i="6"/>
  <c r="D29" i="6"/>
  <c r="H29" i="6"/>
  <c r="D23" i="6"/>
  <c r="H23" i="6"/>
  <c r="D8" i="6"/>
  <c r="D7" i="6"/>
  <c r="G22" i="6"/>
  <c r="D22" i="6" s="1"/>
  <c r="H18" i="6"/>
  <c r="D18" i="6"/>
  <c r="E21" i="6"/>
  <c r="H27" i="6"/>
  <c r="E25" i="6"/>
  <c r="E2" i="6"/>
  <c r="N21" i="6" s="1"/>
  <c r="D12" i="6"/>
  <c r="D6" i="6"/>
  <c r="H11" i="6"/>
  <c r="H12" i="6"/>
  <c r="H13" i="6"/>
  <c r="H14" i="6"/>
  <c r="H15" i="6"/>
  <c r="H16" i="6"/>
  <c r="H17" i="6"/>
  <c r="D17" i="6"/>
  <c r="D13" i="6"/>
  <c r="D14" i="6"/>
  <c r="D15" i="6"/>
  <c r="D16" i="6"/>
  <c r="D11" i="6"/>
  <c r="AD98" i="13" l="1"/>
  <c r="AC97" i="13"/>
  <c r="AG97" i="13"/>
  <c r="AJ87" i="13"/>
  <c r="AP87" i="13" s="1"/>
  <c r="AD87" i="13"/>
  <c r="AJ90" i="13"/>
  <c r="AP90" i="13" s="1"/>
  <c r="AD90" i="13"/>
  <c r="AJ89" i="13"/>
  <c r="AP89" i="13" s="1"/>
  <c r="AD89" i="13"/>
  <c r="AJ95" i="13"/>
  <c r="AP95" i="13" s="1"/>
  <c r="AD95" i="13"/>
  <c r="AJ88" i="13"/>
  <c r="AP88" i="13" s="1"/>
  <c r="AD88" i="13"/>
  <c r="AJ96" i="13"/>
  <c r="AP96" i="13" s="1"/>
  <c r="AD96" i="13"/>
  <c r="AJ84" i="13"/>
  <c r="AP84" i="13" s="1"/>
  <c r="AD84" i="13"/>
  <c r="AJ97" i="13"/>
  <c r="AP97" i="13" s="1"/>
  <c r="AD97" i="13"/>
  <c r="AJ99" i="13"/>
  <c r="AP99" i="13" s="1"/>
  <c r="AD99" i="13"/>
  <c r="AJ85" i="13"/>
  <c r="AP85" i="13" s="1"/>
  <c r="AD85" i="13"/>
  <c r="AJ91" i="13"/>
  <c r="AP91" i="13" s="1"/>
  <c r="AD91" i="13"/>
  <c r="AJ94" i="13"/>
  <c r="AP94" i="13" s="1"/>
  <c r="AD94" i="13"/>
  <c r="AJ92" i="13"/>
  <c r="AP92" i="13" s="1"/>
  <c r="AD92" i="13"/>
  <c r="AJ86" i="13"/>
  <c r="AP86" i="13" s="1"/>
  <c r="AD86" i="13"/>
  <c r="AJ100" i="13"/>
  <c r="AP100" i="13" s="1"/>
  <c r="AD100" i="13"/>
  <c r="AH98" i="13"/>
  <c r="AN98" i="13" s="1"/>
  <c r="AJ98" i="13"/>
  <c r="AI86" i="13"/>
  <c r="AO86" i="13" s="1"/>
  <c r="AI87" i="13"/>
  <c r="AO87" i="13" s="1"/>
  <c r="AI85" i="13"/>
  <c r="AO85" i="13" s="1"/>
  <c r="AI88" i="13"/>
  <c r="AO88" i="13" s="1"/>
  <c r="AI100" i="13"/>
  <c r="AO100" i="13" s="1"/>
  <c r="AI90" i="13"/>
  <c r="AO90" i="13" s="1"/>
  <c r="AI89" i="13"/>
  <c r="AO89" i="13" s="1"/>
  <c r="AI97" i="13"/>
  <c r="AO97" i="13" s="1"/>
  <c r="AI94" i="13"/>
  <c r="AO94" i="13" s="1"/>
  <c r="AI98" i="13"/>
  <c r="AO98" i="13" s="1"/>
  <c r="AI99" i="13"/>
  <c r="AO99" i="13" s="1"/>
  <c r="AI91" i="13"/>
  <c r="AO91" i="13" s="1"/>
  <c r="AI95" i="13"/>
  <c r="AO95" i="13" s="1"/>
  <c r="AI92" i="13"/>
  <c r="AO92" i="13" s="1"/>
  <c r="AI96" i="13"/>
  <c r="AO96" i="13" s="1"/>
  <c r="AI84" i="13"/>
  <c r="AO84" i="13" s="1"/>
  <c r="AH87" i="13"/>
  <c r="AN87" i="13" s="1"/>
  <c r="AG86" i="13"/>
  <c r="AM86" i="13" s="1"/>
  <c r="AG92" i="13"/>
  <c r="AM92" i="13" s="1"/>
  <c r="AM84" i="13"/>
  <c r="AH89" i="13"/>
  <c r="AN89" i="13" s="1"/>
  <c r="AH95" i="13"/>
  <c r="AN95" i="13" s="1"/>
  <c r="AG87" i="13"/>
  <c r="AM87" i="13" s="1"/>
  <c r="AH90" i="13"/>
  <c r="AN90" i="13" s="1"/>
  <c r="AG94" i="13"/>
  <c r="AM94" i="13" s="1"/>
  <c r="AH96" i="13"/>
  <c r="AN96" i="13" s="1"/>
  <c r="AH84" i="13"/>
  <c r="AN84" i="13" s="1"/>
  <c r="AH97" i="13"/>
  <c r="AN97" i="13" s="1"/>
  <c r="AH99" i="13"/>
  <c r="AN99" i="13" s="1"/>
  <c r="AG98" i="13"/>
  <c r="AM98" i="13" s="1"/>
  <c r="AG85" i="13"/>
  <c r="AM85" i="13" s="1"/>
  <c r="AG88" i="13"/>
  <c r="AM88" i="13" s="1"/>
  <c r="AG90" i="13"/>
  <c r="AM90" i="13" s="1"/>
  <c r="AH88" i="13"/>
  <c r="AN88" i="13" s="1"/>
  <c r="AG89" i="13"/>
  <c r="AM89" i="13" s="1"/>
  <c r="AM97" i="13"/>
  <c r="AH92" i="13"/>
  <c r="AN92" i="13" s="1"/>
  <c r="AG96" i="13"/>
  <c r="AM96" i="13" s="1"/>
  <c r="AH86" i="13"/>
  <c r="AN86" i="13" s="1"/>
  <c r="AH100" i="13"/>
  <c r="AN100" i="13" s="1"/>
  <c r="AG99" i="13"/>
  <c r="AG91" i="13"/>
  <c r="AM91" i="13" s="1"/>
  <c r="AG95" i="13"/>
  <c r="AM95" i="13" s="1"/>
  <c r="AH85" i="13"/>
  <c r="AN85" i="13" s="1"/>
  <c r="AH91" i="13"/>
  <c r="AN91" i="13" s="1"/>
  <c r="AH94" i="13"/>
  <c r="AN94" i="13" s="1"/>
  <c r="AS89" i="13"/>
  <c r="AR91" i="13"/>
  <c r="AS85" i="13"/>
  <c r="AS94" i="13"/>
  <c r="AS96" i="13"/>
  <c r="AS84" i="13"/>
  <c r="AS97" i="13"/>
  <c r="AR98" i="13"/>
  <c r="AR84" i="13"/>
  <c r="AS86" i="13"/>
  <c r="AS98" i="13"/>
  <c r="AS100" i="13"/>
  <c r="AS90" i="13"/>
  <c r="AS95" i="13"/>
  <c r="AR87" i="13"/>
  <c r="AR99" i="13"/>
  <c r="AR95" i="13"/>
  <c r="AS91" i="13"/>
  <c r="AS99" i="13"/>
  <c r="AR96" i="13"/>
  <c r="AS92" i="13"/>
  <c r="AS87" i="13"/>
  <c r="AR94" i="13"/>
  <c r="AR86" i="13"/>
  <c r="AR92" i="13"/>
  <c r="Z101" i="13"/>
  <c r="AR85" i="13"/>
  <c r="AR88" i="13"/>
  <c r="AR100" i="13"/>
  <c r="AR90" i="13"/>
  <c r="AS88" i="13"/>
  <c r="AR89" i="13"/>
  <c r="AR97" i="13"/>
  <c r="AA101" i="13"/>
  <c r="E2" i="8"/>
  <c r="E26" i="6"/>
  <c r="E29" i="6" s="1"/>
  <c r="N25" i="6"/>
  <c r="N27" i="6" s="1"/>
  <c r="O27" i="6" s="1"/>
  <c r="K27" i="6" s="1"/>
  <c r="E32" i="12"/>
  <c r="H6" i="12"/>
  <c r="I6" i="12" s="1"/>
  <c r="AI5" i="1"/>
  <c r="AJ5" i="1" s="1"/>
  <c r="AI17" i="1"/>
  <c r="AJ17" i="1" s="1"/>
  <c r="AK17" i="1" s="1"/>
  <c r="AT5" i="1"/>
  <c r="AU5" i="1" s="1"/>
  <c r="AT9" i="1"/>
  <c r="AU9" i="1" s="1"/>
  <c r="AT13" i="1"/>
  <c r="AU13" i="1" s="1"/>
  <c r="AT17" i="1"/>
  <c r="AU17" i="1" s="1"/>
  <c r="AT21" i="1"/>
  <c r="AU21" i="1" s="1"/>
  <c r="AT18" i="1"/>
  <c r="AU18" i="1" s="1"/>
  <c r="AT6" i="1"/>
  <c r="AU6" i="1" s="1"/>
  <c r="AT10" i="1"/>
  <c r="AU10" i="1" s="1"/>
  <c r="AT14" i="1"/>
  <c r="AU14" i="1" s="1"/>
  <c r="AT22" i="1"/>
  <c r="AU22" i="1" s="1"/>
  <c r="AT3" i="1"/>
  <c r="AT7" i="1"/>
  <c r="AU7" i="1" s="1"/>
  <c r="AT11" i="1"/>
  <c r="AU11" i="1" s="1"/>
  <c r="AT15" i="1"/>
  <c r="AU15" i="1" s="1"/>
  <c r="AT19" i="1"/>
  <c r="AU19" i="1" s="1"/>
  <c r="AT4" i="1"/>
  <c r="AU4" i="1" s="1"/>
  <c r="AT8" i="1"/>
  <c r="AU8" i="1" s="1"/>
  <c r="AT12" i="1"/>
  <c r="AU12" i="1" s="1"/>
  <c r="AT16" i="1"/>
  <c r="AU16" i="1" s="1"/>
  <c r="AT20" i="1"/>
  <c r="AU20" i="1" s="1"/>
  <c r="AT23" i="1"/>
  <c r="AU23" i="1" s="1"/>
  <c r="AX4" i="1"/>
  <c r="AY4" i="1" s="1"/>
  <c r="AX5" i="1"/>
  <c r="AY5" i="1" s="1"/>
  <c r="AX19" i="1"/>
  <c r="AY19" i="1" s="1"/>
  <c r="AX20" i="1"/>
  <c r="AY20" i="1" s="1"/>
  <c r="AX21" i="1"/>
  <c r="AY21" i="1" s="1"/>
  <c r="AX22" i="1"/>
  <c r="AY22" i="1" s="1"/>
  <c r="AX23" i="1"/>
  <c r="AY23" i="1" s="1"/>
  <c r="AX6" i="1"/>
  <c r="AY6" i="1" s="1"/>
  <c r="AX7" i="1"/>
  <c r="AY7" i="1" s="1"/>
  <c r="AX8" i="1"/>
  <c r="AY8" i="1" s="1"/>
  <c r="AX9" i="1"/>
  <c r="AY9" i="1" s="1"/>
  <c r="AX10" i="1"/>
  <c r="AY10" i="1" s="1"/>
  <c r="AX11" i="1"/>
  <c r="AY11" i="1" s="1"/>
  <c r="AX12" i="1"/>
  <c r="AY12" i="1" s="1"/>
  <c r="AX13" i="1"/>
  <c r="AY13" i="1" s="1"/>
  <c r="AX14" i="1"/>
  <c r="AY14" i="1" s="1"/>
  <c r="AX15" i="1"/>
  <c r="AY15" i="1" s="1"/>
  <c r="AX16" i="1"/>
  <c r="AY16" i="1" s="1"/>
  <c r="AX17" i="1"/>
  <c r="AY17" i="1" s="1"/>
  <c r="AX18" i="1"/>
  <c r="AY18" i="1" s="1"/>
  <c r="AX3" i="1"/>
  <c r="AY3" i="1" s="1"/>
  <c r="Z6" i="1"/>
  <c r="AA6" i="1" s="1"/>
  <c r="AC17" i="1"/>
  <c r="AD17" i="1" s="1"/>
  <c r="AE17" i="1" s="1"/>
  <c r="BB10" i="1"/>
  <c r="BC10" i="1" s="1"/>
  <c r="BB11" i="1"/>
  <c r="BC11" i="1" s="1"/>
  <c r="BB12" i="1"/>
  <c r="BC12" i="1" s="1"/>
  <c r="BB13" i="1"/>
  <c r="BC13" i="1" s="1"/>
  <c r="BB14" i="1"/>
  <c r="BC14" i="1" s="1"/>
  <c r="BB15" i="1"/>
  <c r="BC15" i="1" s="1"/>
  <c r="BB16" i="1"/>
  <c r="BC16" i="1" s="1"/>
  <c r="BB17" i="1"/>
  <c r="BC17" i="1" s="1"/>
  <c r="BB18" i="1"/>
  <c r="BC18" i="1" s="1"/>
  <c r="BB3" i="1"/>
  <c r="BC3" i="1" s="1"/>
  <c r="BB4" i="1"/>
  <c r="BC4" i="1" s="1"/>
  <c r="BB5" i="1"/>
  <c r="BC5" i="1" s="1"/>
  <c r="BB19" i="1"/>
  <c r="BC19" i="1" s="1"/>
  <c r="BB20" i="1"/>
  <c r="BC20" i="1" s="1"/>
  <c r="BB21" i="1"/>
  <c r="BC21" i="1" s="1"/>
  <c r="BB22" i="1"/>
  <c r="BC22" i="1" s="1"/>
  <c r="BB23" i="1"/>
  <c r="BC23" i="1" s="1"/>
  <c r="BB6" i="1"/>
  <c r="BC6" i="1" s="1"/>
  <c r="BB7" i="1"/>
  <c r="BC7" i="1" s="1"/>
  <c r="BB8" i="1"/>
  <c r="BC8" i="1" s="1"/>
  <c r="BB9" i="1"/>
  <c r="BC9" i="1" s="1"/>
  <c r="BF5" i="1"/>
  <c r="BG5" i="1" s="1"/>
  <c r="BF6" i="1"/>
  <c r="BG6" i="1" s="1"/>
  <c r="BF7" i="1"/>
  <c r="BG7" i="1" s="1"/>
  <c r="BF8" i="1"/>
  <c r="BG8" i="1" s="1"/>
  <c r="BF9" i="1"/>
  <c r="BG9" i="1" s="1"/>
  <c r="BF3" i="1"/>
  <c r="BG3" i="1" s="1"/>
  <c r="BF10" i="1"/>
  <c r="BG10" i="1" s="1"/>
  <c r="BF11" i="1"/>
  <c r="BG11" i="1" s="1"/>
  <c r="BF12" i="1"/>
  <c r="BG12" i="1" s="1"/>
  <c r="BF13" i="1"/>
  <c r="BG13" i="1" s="1"/>
  <c r="BF14" i="1"/>
  <c r="BG14" i="1" s="1"/>
  <c r="BF15" i="1"/>
  <c r="BG15" i="1" s="1"/>
  <c r="BF16" i="1"/>
  <c r="BG16" i="1" s="1"/>
  <c r="BF17" i="1"/>
  <c r="BG17" i="1" s="1"/>
  <c r="BF4" i="1"/>
  <c r="BG4" i="1" s="1"/>
  <c r="BF18" i="1"/>
  <c r="BG18" i="1" s="1"/>
  <c r="BF19" i="1"/>
  <c r="BG19" i="1" s="1"/>
  <c r="BF20" i="1"/>
  <c r="BG20" i="1" s="1"/>
  <c r="BF21" i="1"/>
  <c r="BG21" i="1" s="1"/>
  <c r="BF22" i="1"/>
  <c r="BG22" i="1" s="1"/>
  <c r="BF23" i="1"/>
  <c r="BG23" i="1" s="1"/>
  <c r="AC5" i="1"/>
  <c r="AD5" i="1" s="1"/>
  <c r="AE5" i="1" s="1"/>
  <c r="AZ12" i="1"/>
  <c r="BA12" i="1" s="1"/>
  <c r="AZ13" i="1"/>
  <c r="BA13" i="1" s="1"/>
  <c r="AZ14" i="1"/>
  <c r="BA14" i="1" s="1"/>
  <c r="AZ15" i="1"/>
  <c r="BA15" i="1" s="1"/>
  <c r="AZ16" i="1"/>
  <c r="BA16" i="1" s="1"/>
  <c r="AZ17" i="1"/>
  <c r="BA17" i="1" s="1"/>
  <c r="AZ18" i="1"/>
  <c r="BA18" i="1" s="1"/>
  <c r="AZ4" i="1"/>
  <c r="BA4" i="1" s="1"/>
  <c r="AZ5" i="1"/>
  <c r="BA5" i="1" s="1"/>
  <c r="AZ19" i="1"/>
  <c r="BA19" i="1" s="1"/>
  <c r="AZ20" i="1"/>
  <c r="BA20" i="1" s="1"/>
  <c r="AZ21" i="1"/>
  <c r="BA21" i="1" s="1"/>
  <c r="AZ22" i="1"/>
  <c r="BA22" i="1" s="1"/>
  <c r="AZ23" i="1"/>
  <c r="BA23" i="1" s="1"/>
  <c r="AZ6" i="1"/>
  <c r="BA6" i="1" s="1"/>
  <c r="AZ7" i="1"/>
  <c r="BA7" i="1" s="1"/>
  <c r="AZ8" i="1"/>
  <c r="BA8" i="1" s="1"/>
  <c r="AZ9" i="1"/>
  <c r="BA9" i="1" s="1"/>
  <c r="AZ3" i="1"/>
  <c r="BA3" i="1" s="1"/>
  <c r="AZ10" i="1"/>
  <c r="BA10" i="1" s="1"/>
  <c r="AZ11" i="1"/>
  <c r="BA11" i="1" s="1"/>
  <c r="Z23" i="1"/>
  <c r="AA23" i="1" s="1"/>
  <c r="AB23" i="1" s="1"/>
  <c r="E10" i="6"/>
  <c r="E18" i="6" s="1"/>
  <c r="B18" i="6" s="1"/>
  <c r="N32" i="6"/>
  <c r="N33" i="6" s="1"/>
  <c r="O33" i="6" s="1"/>
  <c r="K33" i="6" s="1"/>
  <c r="N4" i="6"/>
  <c r="N5" i="6" s="1"/>
  <c r="O5" i="6" s="1"/>
  <c r="E32" i="6"/>
  <c r="E33" i="6" s="1"/>
  <c r="F33" i="6" s="1"/>
  <c r="B33" i="6" s="1"/>
  <c r="N10" i="6"/>
  <c r="N22" i="6"/>
  <c r="O22" i="6" s="1"/>
  <c r="K22" i="6" s="1"/>
  <c r="H22" i="6"/>
  <c r="E22" i="6" s="1"/>
  <c r="F22" i="6" s="1"/>
  <c r="B22" i="6" s="1"/>
  <c r="Z16" i="1"/>
  <c r="AA16" i="1" s="1"/>
  <c r="Z5" i="1"/>
  <c r="AA5" i="1" s="1"/>
  <c r="AB5" i="1" s="1"/>
  <c r="Z17" i="1"/>
  <c r="AA17" i="1" s="1"/>
  <c r="AB17" i="1" s="1"/>
  <c r="Z7" i="1"/>
  <c r="AA7" i="1" s="1"/>
  <c r="AN5" i="1"/>
  <c r="AK5" i="1"/>
  <c r="F29" i="6"/>
  <c r="B29" i="6" s="1"/>
  <c r="E23" i="6"/>
  <c r="F23" i="6" s="1"/>
  <c r="B23" i="6" s="1"/>
  <c r="E28" i="6"/>
  <c r="E27" i="6"/>
  <c r="F27" i="6" s="1"/>
  <c r="B27" i="6" s="1"/>
  <c r="E14" i="6"/>
  <c r="F14" i="6" s="1"/>
  <c r="B14" i="6" s="1"/>
  <c r="E17" i="6"/>
  <c r="F17" i="6" s="1"/>
  <c r="B17" i="6" s="1"/>
  <c r="E13" i="6"/>
  <c r="F13" i="6" s="1"/>
  <c r="B13" i="6" s="1"/>
  <c r="E4" i="6"/>
  <c r="J63" i="1"/>
  <c r="J4" i="1"/>
  <c r="J5" i="1"/>
  <c r="J6" i="1"/>
  <c r="J7" i="1"/>
  <c r="J16" i="1"/>
  <c r="J17" i="1"/>
  <c r="J18" i="1"/>
  <c r="J19" i="1"/>
  <c r="J20" i="1"/>
  <c r="J21" i="1"/>
  <c r="J22" i="1"/>
  <c r="J23" i="1"/>
  <c r="J3" i="1"/>
  <c r="L4" i="1"/>
  <c r="M4" i="1" s="1"/>
  <c r="O4" i="1"/>
  <c r="P4" i="1" s="1"/>
  <c r="L5" i="1"/>
  <c r="O5" i="1"/>
  <c r="P5" i="1" s="1"/>
  <c r="L6" i="1"/>
  <c r="O6" i="1"/>
  <c r="P6" i="1" s="1"/>
  <c r="L7" i="1"/>
  <c r="O7" i="1"/>
  <c r="P7" i="1" s="1"/>
  <c r="L16" i="1"/>
  <c r="O16" i="1"/>
  <c r="P16" i="1" s="1"/>
  <c r="L17" i="1"/>
  <c r="O17" i="1"/>
  <c r="P17" i="1" s="1"/>
  <c r="L18" i="1"/>
  <c r="M18" i="1" s="1"/>
  <c r="O18" i="1"/>
  <c r="P18" i="1" s="1"/>
  <c r="L19" i="1"/>
  <c r="M19" i="1" s="1"/>
  <c r="O19" i="1"/>
  <c r="P19" i="1" s="1"/>
  <c r="L20" i="1"/>
  <c r="M20" i="1" s="1"/>
  <c r="O20" i="1"/>
  <c r="P20" i="1" s="1"/>
  <c r="L21" i="1"/>
  <c r="O21" i="1"/>
  <c r="P21" i="1" s="1"/>
  <c r="L22" i="1"/>
  <c r="M22" i="1" s="1"/>
  <c r="O22" i="1"/>
  <c r="P22" i="1" s="1"/>
  <c r="O3" i="1"/>
  <c r="P3" i="1" s="1"/>
  <c r="L3" i="1"/>
  <c r="M3" i="1" s="1"/>
  <c r="F23" i="1"/>
  <c r="O23" i="1" s="1"/>
  <c r="P23" i="1" s="1"/>
  <c r="E23" i="1"/>
  <c r="L23" i="1" s="1"/>
  <c r="D23" i="1"/>
  <c r="AF101" i="13" l="1"/>
  <c r="AO101" i="13"/>
  <c r="AJ101" i="13"/>
  <c r="AJ102" i="13" s="1"/>
  <c r="AJ104" i="13" s="1"/>
  <c r="AP98" i="13"/>
  <c r="AP101" i="13" s="1"/>
  <c r="AI101" i="13"/>
  <c r="AI102" i="13" s="1"/>
  <c r="AI104" i="13" s="1"/>
  <c r="AM101" i="13"/>
  <c r="AN101" i="13"/>
  <c r="AH101" i="13"/>
  <c r="AH102" i="13" s="1"/>
  <c r="AH104" i="13" s="1"/>
  <c r="AG101" i="13"/>
  <c r="AG102" i="13" s="1"/>
  <c r="AG104" i="13" s="1"/>
  <c r="AS101" i="13"/>
  <c r="AS102" i="13" s="1"/>
  <c r="AR101" i="13"/>
  <c r="AR102" i="13" s="1"/>
  <c r="D10" i="14"/>
  <c r="P27" i="11" s="1"/>
  <c r="E11" i="6"/>
  <c r="F11" i="6" s="1"/>
  <c r="B11" i="6" s="1"/>
  <c r="E15" i="6"/>
  <c r="F15" i="6" s="1"/>
  <c r="B15" i="6" s="1"/>
  <c r="E12" i="6"/>
  <c r="F12" i="6" s="1"/>
  <c r="B12" i="6" s="1"/>
  <c r="J6" i="12"/>
  <c r="H7" i="12" s="1"/>
  <c r="I7" i="12" s="1"/>
  <c r="E5" i="6"/>
  <c r="E6" i="6"/>
  <c r="F6" i="6" s="1"/>
  <c r="B6" i="6" s="1"/>
  <c r="E16" i="6"/>
  <c r="F16" i="6" s="1"/>
  <c r="B16" i="6" s="1"/>
  <c r="M21" i="1"/>
  <c r="M17" i="1"/>
  <c r="M7" i="1"/>
  <c r="M5" i="1"/>
  <c r="M23" i="1"/>
  <c r="M16" i="1"/>
  <c r="M6" i="1"/>
  <c r="E8" i="6"/>
  <c r="F8" i="6" s="1"/>
  <c r="B8" i="6" s="1"/>
  <c r="E7" i="6"/>
  <c r="F7" i="6" s="1"/>
  <c r="B7" i="6" s="1"/>
  <c r="F5" i="6"/>
  <c r="B5" i="6" s="1"/>
  <c r="D11" i="14" l="1"/>
  <c r="Q27" i="11"/>
  <c r="R27" i="11" s="1"/>
  <c r="P28" i="11"/>
  <c r="Q29" i="11"/>
  <c r="R30" i="11" s="1"/>
  <c r="P29" i="11"/>
  <c r="P30" i="11" s="1"/>
  <c r="J7" i="12"/>
  <c r="H8" i="12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7" i="1"/>
  <c r="H7" i="1" s="1"/>
  <c r="G6" i="1"/>
  <c r="H6" i="1" s="1"/>
  <c r="G5" i="1"/>
  <c r="H5" i="1" s="1"/>
  <c r="G4" i="1"/>
  <c r="H4" i="1" s="1"/>
  <c r="H3" i="1"/>
  <c r="I8" i="12" l="1"/>
  <c r="J8" i="12" s="1"/>
  <c r="J10" i="12" s="1"/>
  <c r="F28" i="6"/>
  <c r="B28" i="6" s="1"/>
  <c r="O2" i="12"/>
  <c r="M3" i="12" l="1"/>
  <c r="N3" i="12" s="1"/>
  <c r="O3" i="12" l="1"/>
  <c r="M4" i="12" s="1"/>
  <c r="N4" i="12" s="1"/>
  <c r="O4" i="12" l="1"/>
  <c r="M5" i="12" s="1"/>
  <c r="N5" i="12" s="1"/>
  <c r="O5" i="12"/>
  <c r="O9" i="12" s="1"/>
  <c r="M6" i="12" l="1"/>
  <c r="N6" i="12" s="1"/>
  <c r="O6" i="12" l="1"/>
  <c r="M7" i="12" s="1"/>
  <c r="N7" i="12" s="1"/>
  <c r="O7" i="12" l="1"/>
  <c r="M8" i="12" s="1"/>
  <c r="N8" i="12" l="1"/>
  <c r="O8" i="12" s="1"/>
  <c r="O10" i="12" s="1"/>
  <c r="D17" i="12"/>
  <c r="E17" i="12" s="1"/>
  <c r="C18" i="12" s="1"/>
  <c r="D18" i="12" l="1"/>
  <c r="E18" i="12" s="1"/>
  <c r="C19" i="12" s="1"/>
  <c r="D19" i="12" l="1"/>
  <c r="E19" i="12"/>
  <c r="C20" i="12" s="1"/>
  <c r="D20" i="12" l="1"/>
  <c r="E20" i="12" s="1"/>
  <c r="C21" i="12" s="1"/>
  <c r="H20" i="12" l="1"/>
  <c r="O20" i="12"/>
  <c r="O21" i="12" s="1"/>
  <c r="P20" i="12" s="1"/>
  <c r="D21" i="12"/>
  <c r="E21" i="12" s="1"/>
  <c r="C22" i="12" s="1"/>
  <c r="D22" i="12" l="1"/>
  <c r="E22" i="12"/>
  <c r="C23" i="12" s="1"/>
  <c r="D23" i="12" l="1"/>
  <c r="E23" i="12" s="1"/>
  <c r="H34" i="12"/>
  <c r="P26" i="12"/>
  <c r="H33" i="12"/>
  <c r="I33" i="12"/>
  <c r="I34" i="12"/>
  <c r="K41" i="12" l="1"/>
  <c r="L46" i="12"/>
  <c r="K40" i="12"/>
  <c r="L45" i="12"/>
  <c r="L47" i="12" s="1"/>
  <c r="K42" i="12" l="1"/>
  <c r="I37" i="12"/>
  <c r="I40" i="12" s="1"/>
  <c r="I39" i="12" l="1"/>
  <c r="I38" i="12"/>
  <c r="I41" i="12" l="1"/>
  <c r="AK101" i="13" l="1"/>
  <c r="AC102" i="13"/>
  <c r="AC104" i="13" s="1"/>
  <c r="AC101" i="13"/>
  <c r="AD83" i="13"/>
  <c r="AD101" i="13" s="1"/>
  <c r="AD102" i="13" s="1"/>
  <c r="AD104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Heidi</author>
  </authors>
  <commentList>
    <comment ref="G1" authorId="0" shapeId="0" xr:uid="{A8E9A317-AF70-489A-A5AA-7F6A25FAAF76}">
      <text>
        <r>
          <rPr>
            <b/>
            <sz val="9"/>
            <color indexed="81"/>
            <rFont val="Tahoma"/>
            <charset val="1"/>
          </rPr>
          <t>Heidi:</t>
        </r>
        <r>
          <rPr>
            <sz val="9"/>
            <color indexed="81"/>
            <rFont val="Tahoma"/>
            <charset val="1"/>
          </rPr>
          <t xml:space="preserve">
The total number of
eggs deposited on conventional cotton plants was about 95%
greater than that on Bt cotton plants at bud–flower stage and flower–boll stage (Lodaya &amp; Borad, 2014) </t>
        </r>
      </text>
    </comment>
    <comment ref="Q1" authorId="0" shapeId="0" xr:uid="{0232C8BC-29F9-4A2B-A3D1-C40DF558360E}">
      <text>
        <r>
          <rPr>
            <b/>
            <sz val="9"/>
            <color indexed="81"/>
            <rFont val="Tahoma"/>
            <charset val="1"/>
          </rPr>
          <t>Heidi:</t>
        </r>
        <r>
          <rPr>
            <sz val="9"/>
            <color indexed="81"/>
            <rFont val="Tahoma"/>
            <charset val="1"/>
          </rPr>
          <t xml:space="preserve">
The total number of
eggs deposited on conventional cotton plants was about 95%
greater than that on Bt cotton plants at bud–flower stage and flower–boll stage (Lodaya &amp; Borad, 2014) </t>
        </r>
      </text>
    </comment>
    <comment ref="J17" authorId="0" shapeId="0" xr:uid="{269D2596-4665-473C-8725-CAEF1F170095}">
      <text>
        <r>
          <rPr>
            <b/>
            <sz val="9"/>
            <color indexed="81"/>
            <rFont val="Tahoma"/>
            <family val="2"/>
          </rPr>
          <t>Heidi:</t>
        </r>
        <r>
          <rPr>
            <sz val="9"/>
            <color indexed="81"/>
            <rFont val="Tahoma"/>
            <family val="2"/>
          </rPr>
          <t xml:space="preserve">
Average offered price of a bale of cotton (farm gate)</t>
        </r>
      </text>
    </comment>
  </commentList>
</comments>
</file>

<file path=xl/sharedStrings.xml><?xml version="1.0" encoding="utf-8"?>
<sst xmlns="http://schemas.openxmlformats.org/spreadsheetml/2006/main" count="1361" uniqueCount="638">
  <si>
    <t>FMR</t>
  </si>
  <si>
    <t>planthoppers</t>
  </si>
  <si>
    <t>med beetle</t>
  </si>
  <si>
    <t>Austronomus australis</t>
  </si>
  <si>
    <t xml:space="preserve">Chalinolobus dwyeri </t>
  </si>
  <si>
    <t>C. gouldii</t>
  </si>
  <si>
    <t>C. morio</t>
  </si>
  <si>
    <t xml:space="preserve">C. picatus </t>
  </si>
  <si>
    <t>Miniopterus s. oceanensis</t>
  </si>
  <si>
    <t>Ozimops ridei</t>
  </si>
  <si>
    <t>O. petersi</t>
  </si>
  <si>
    <t>O. planiceps</t>
  </si>
  <si>
    <t>O. lumsdenae</t>
  </si>
  <si>
    <t>Saccolaimus flaviventris</t>
  </si>
  <si>
    <t>Scotorepens orion</t>
  </si>
  <si>
    <t>S. balstoni</t>
  </si>
  <si>
    <t>Vespadelus baverstocki</t>
  </si>
  <si>
    <t>V. vulturnus</t>
  </si>
  <si>
    <t>V. regulus</t>
  </si>
  <si>
    <t>V. darlingtoni</t>
  </si>
  <si>
    <t>V. troughtoni</t>
  </si>
  <si>
    <t>Scoteanax rueppellii (likely)</t>
  </si>
  <si>
    <r>
      <t>S. greyii or S. sp.1</t>
    </r>
    <r>
      <rPr>
        <sz val="9"/>
        <color rgb="FF000000"/>
        <rFont val="Arial"/>
        <family val="2"/>
      </rPr>
      <t xml:space="preserve"> (</t>
    </r>
    <r>
      <rPr>
        <i/>
        <sz val="9"/>
        <color rgb="FF000000"/>
        <rFont val="Arial"/>
        <family val="2"/>
      </rPr>
      <t>Parnaby)</t>
    </r>
  </si>
  <si>
    <t>Lepidoptera</t>
  </si>
  <si>
    <t>Coleoptera</t>
  </si>
  <si>
    <t>Diptera</t>
  </si>
  <si>
    <t>Hemiptera</t>
  </si>
  <si>
    <t>Orthoptera</t>
  </si>
  <si>
    <t>VEVU</t>
  </si>
  <si>
    <t>CHGO</t>
  </si>
  <si>
    <t>SCGR</t>
  </si>
  <si>
    <t>CHMO</t>
  </si>
  <si>
    <t>VEVU NYGE</t>
  </si>
  <si>
    <t>VEBA</t>
  </si>
  <si>
    <t>CHPI</t>
  </si>
  <si>
    <t>Row Labels</t>
  </si>
  <si>
    <t>Grand Total</t>
  </si>
  <si>
    <t>Count of Species</t>
  </si>
  <si>
    <t>diptera (mosquito &amp; small fly)</t>
  </si>
  <si>
    <t>Min wgt</t>
  </si>
  <si>
    <t>Max wgt</t>
  </si>
  <si>
    <t>Nyctophilus geofroyii</t>
  </si>
  <si>
    <t>Body Mass range (g)</t>
  </si>
  <si>
    <t>Feeding buzzes (total no.)</t>
  </si>
  <si>
    <t>FMR range (kJ day−1)</t>
  </si>
  <si>
    <t>FMR MIN</t>
  </si>
  <si>
    <t>FMR MAX</t>
  </si>
  <si>
    <t>FMR formula</t>
  </si>
  <si>
    <t>FMR average  (kJ day−1)</t>
  </si>
  <si>
    <t>-</t>
  </si>
  <si>
    <t>rutherglen bug</t>
  </si>
  <si>
    <t>aphid</t>
  </si>
  <si>
    <t>SLWF</t>
  </si>
  <si>
    <t>Spiders medium (orbweaver)</t>
  </si>
  <si>
    <t>Cotton tipworm (Crocidosema plebejana)</t>
  </si>
  <si>
    <t>Cotton web spinner (Achyra affinitalis)</t>
  </si>
  <si>
    <t>Body Mass average (g)</t>
  </si>
  <si>
    <t>Mirid</t>
  </si>
  <si>
    <t>Superb  Fairy-wrens  Malurus  cyaneus</t>
  </si>
  <si>
    <t>(Weathers &amp; Paton, 1997)</t>
  </si>
  <si>
    <t>220-350</t>
  </si>
  <si>
    <t>HANZAB v7</t>
  </si>
  <si>
    <t>Australian magpie</t>
  </si>
  <si>
    <t>Lepidoptera in diet</t>
  </si>
  <si>
    <t>The DEBoflongspurswas alsocalculatedfrom thefollowingequationsforbreedingpasserines (Kendeigh,1970):</t>
  </si>
  <si>
    <t>4.1-7</t>
  </si>
  <si>
    <t>Cecidomyiidae (gnats)</t>
  </si>
  <si>
    <t>% In diet based on my study</t>
  </si>
  <si>
    <t>kj/g</t>
  </si>
  <si>
    <t>70% kj</t>
  </si>
  <si>
    <t>FMR/70% kj</t>
  </si>
  <si>
    <t>insect wgt</t>
  </si>
  <si>
    <t>no of insect required</t>
  </si>
  <si>
    <t>Diptera (Cecidomyiidae ) gnats</t>
  </si>
  <si>
    <t>Aphid</t>
  </si>
  <si>
    <t>lnY = a +bX+b1X2</t>
  </si>
  <si>
    <t>a</t>
  </si>
  <si>
    <t>b</t>
  </si>
  <si>
    <t>b1</t>
  </si>
  <si>
    <t>X = body length mm</t>
  </si>
  <si>
    <t>etillia behrii</t>
  </si>
  <si>
    <t>cotton seed bug</t>
  </si>
  <si>
    <t>thrip</t>
  </si>
  <si>
    <t>leafhopper</t>
  </si>
  <si>
    <t>pale cotton stainer</t>
  </si>
  <si>
    <t>Homoptera/Hemiptera</t>
  </si>
  <si>
    <t xml:space="preserve">R2 </t>
  </si>
  <si>
    <t>Adult</t>
  </si>
  <si>
    <t>Helicoverpa armigera</t>
  </si>
  <si>
    <t>X2</t>
  </si>
  <si>
    <t>X</t>
  </si>
  <si>
    <t>staph beetle</t>
  </si>
  <si>
    <t>Beetle</t>
  </si>
  <si>
    <t>tachnid fly (cotton)</t>
  </si>
  <si>
    <t>Diptera/Hymenoptera</t>
  </si>
  <si>
    <t>Chironomidae (non-biting midges)</t>
  </si>
  <si>
    <t>Bugs (cottonseed bug, rutherglen bug, leafhoppers)</t>
  </si>
  <si>
    <t>Cotton bollworm (Helicoverpa armigera)</t>
  </si>
  <si>
    <t>Gryllidae (crickets)</t>
  </si>
  <si>
    <t xml:space="preserve">Medium beetle </t>
  </si>
  <si>
    <t>Small beetle (staphilinadea, ladybirds)</t>
  </si>
  <si>
    <t>Medium beetle (carab, red and blue beetle)</t>
  </si>
  <si>
    <t>Orthoptera (grasshoppers, crickets)</t>
  </si>
  <si>
    <t>Kunz 1987</t>
  </si>
  <si>
    <t xml:space="preserve">Chironomidae </t>
  </si>
  <si>
    <t>Diamondback moth (Plutella xylostella)</t>
  </si>
  <si>
    <t>Webmoth (Etillia behrii )</t>
  </si>
  <si>
    <t>Order / Family</t>
  </si>
  <si>
    <r>
      <t>Size (mm)</t>
    </r>
    <r>
      <rPr>
        <vertAlign val="superscript"/>
        <sz val="9"/>
        <color rgb="FF000000"/>
        <rFont val="Arial"/>
        <family val="2"/>
      </rPr>
      <t>a</t>
    </r>
  </si>
  <si>
    <t>Weight</t>
  </si>
  <si>
    <r>
      <t>(g)</t>
    </r>
    <r>
      <rPr>
        <vertAlign val="superscript"/>
        <sz val="9"/>
        <color rgb="FF000000"/>
        <rFont val="Arial"/>
        <family val="2"/>
      </rPr>
      <t>b</t>
    </r>
  </si>
  <si>
    <r>
      <t>kJg</t>
    </r>
    <r>
      <rPr>
        <vertAlign val="superscript"/>
        <sz val="9"/>
        <color rgb="FF000000"/>
        <rFont val="Arial"/>
        <family val="2"/>
      </rPr>
      <t>–1</t>
    </r>
  </si>
  <si>
    <t>Reference for FMR</t>
  </si>
  <si>
    <t>Bell (1990)</t>
  </si>
  <si>
    <t>(Bell, 1990)</t>
  </si>
  <si>
    <t>Diptera (flies, mosquitos and gnats)</t>
  </si>
  <si>
    <t>(Rumpold &amp; Schlüter, 2015)</t>
  </si>
  <si>
    <t>1–10</t>
  </si>
  <si>
    <r>
      <t>Culicidae (mosquitoes)</t>
    </r>
    <r>
      <rPr>
        <vertAlign val="superscript"/>
        <sz val="9"/>
        <color rgb="FF000000"/>
        <rFont val="Arial"/>
        <family val="2"/>
      </rPr>
      <t>d</t>
    </r>
  </si>
  <si>
    <t>3–6</t>
  </si>
  <si>
    <t>(Wetzler &amp; Boyles, 2017)</t>
  </si>
  <si>
    <t>(Gonsalves et al., 2013) cant find this in his reference</t>
  </si>
  <si>
    <t>0.2–0.3</t>
  </si>
  <si>
    <t>Tachinidae</t>
  </si>
  <si>
    <t>7–10</t>
  </si>
  <si>
    <t>Hemiptera (bugs)</t>
  </si>
  <si>
    <t>7–8</t>
  </si>
  <si>
    <t>1–2</t>
  </si>
  <si>
    <t xml:space="preserve">Kunz 1987 </t>
  </si>
  <si>
    <t>(Barclay et al., 1991)</t>
  </si>
  <si>
    <t>(Kunz et al., 1995)</t>
  </si>
  <si>
    <t>(Mclean &amp; Speakman, 1999)</t>
  </si>
  <si>
    <t>12–15</t>
  </si>
  <si>
    <t>10–15</t>
  </si>
  <si>
    <t>Beetles (Coleoptera)</t>
  </si>
  <si>
    <t>(Custer et al., 1986)</t>
  </si>
  <si>
    <t>Mixed insects (average)</t>
  </si>
  <si>
    <t>(Nagy, 1987)</t>
  </si>
  <si>
    <t>Based on a one insect only diet</t>
  </si>
  <si>
    <t>No of Lep</t>
  </si>
  <si>
    <t xml:space="preserve">FMR/70% </t>
  </si>
  <si>
    <t>No consumed</t>
  </si>
  <si>
    <t>Moth small</t>
  </si>
  <si>
    <t xml:space="preserve">Moth large </t>
  </si>
  <si>
    <t>FMR BAT</t>
  </si>
  <si>
    <t>kj/g prey</t>
  </si>
  <si>
    <t>70% kj prey (digestion efficency)</t>
  </si>
  <si>
    <t>FMR BAT / 70% kj prey</t>
  </si>
  <si>
    <t>No of col</t>
  </si>
  <si>
    <t>Helicoverpa</t>
  </si>
  <si>
    <t>Field crickets</t>
  </si>
  <si>
    <t>Aphids</t>
  </si>
  <si>
    <t>Coleoptera (staphalin)</t>
  </si>
  <si>
    <t>White-throated Tree-creeper</t>
  </si>
  <si>
    <t>Required number need to consume based on my diet study</t>
  </si>
  <si>
    <t>1–15</t>
  </si>
  <si>
    <t>No of hem</t>
  </si>
  <si>
    <t>No of dip</t>
  </si>
  <si>
    <t>Weight based on sclaed data</t>
  </si>
  <si>
    <t>Helicoverpa only diet</t>
  </si>
  <si>
    <t>Aphid only diet</t>
  </si>
  <si>
    <t xml:space="preserve">No of  Helicoverpa </t>
  </si>
  <si>
    <t>Bat species</t>
  </si>
  <si>
    <t>diptera (tachnid)</t>
  </si>
  <si>
    <t>diptera (mosquito / gnat)</t>
  </si>
  <si>
    <t>10–20</t>
  </si>
  <si>
    <t>grams</t>
  </si>
  <si>
    <t>wgt lep</t>
  </si>
  <si>
    <t>Tonnes</t>
  </si>
  <si>
    <t>Med</t>
  </si>
  <si>
    <t>Based on proportions in diet Chalinolobus Gouldi</t>
  </si>
  <si>
    <t>Over the growing season based on mimmal feeding buzz incnetre of crop</t>
  </si>
  <si>
    <t>dry weight (g)</t>
  </si>
  <si>
    <t xml:space="preserve">cabbage moth Plutella xylostella </t>
  </si>
  <si>
    <t>16.5-21.5</t>
  </si>
  <si>
    <t xml:space="preserve">Some Biological Characteristics of Helicoverpa armigera on Chickpea </t>
  </si>
  <si>
    <t>14–21.5</t>
  </si>
  <si>
    <t>70% efficiency</t>
  </si>
  <si>
    <t>Detectors were all placed a</t>
  </si>
  <si>
    <t xml:space="preserve">No of 30khz bats feeding = </t>
  </si>
  <si>
    <r>
      <t xml:space="preserve">Bats calling at 40khz = detected 20 m from microphone (Wildlife Acoustics 2014) = 40 m diameter = 1,256.63 m2 = </t>
    </r>
    <r>
      <rPr>
        <b/>
        <sz val="11"/>
        <color theme="1"/>
        <rFont val="Arial"/>
        <family val="2"/>
      </rPr>
      <t>0.125664</t>
    </r>
    <r>
      <rPr>
        <b/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ha  </t>
    </r>
  </si>
  <si>
    <r>
      <t xml:space="preserve">1198 feeding buzzes recorded over 158 recording nights = average </t>
    </r>
    <r>
      <rPr>
        <b/>
        <sz val="11"/>
        <color theme="1"/>
        <rFont val="Arial"/>
        <family val="2"/>
      </rPr>
      <t>7.5822</t>
    </r>
    <r>
      <rPr>
        <b/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feeding buzzes per detector area (check and determine how many in the 30-40khz range)</t>
    </r>
  </si>
  <si>
    <t>196,689 ha of cotton grown during 2014/2015 season</t>
  </si>
  <si>
    <t>Area = Pi x r2</t>
  </si>
  <si>
    <t xml:space="preserve">30khz bat estimate </t>
  </si>
  <si>
    <r>
      <t xml:space="preserve">196,689 / </t>
    </r>
    <r>
      <rPr>
        <b/>
        <vertAlign val="superscript"/>
        <sz val="11"/>
        <color theme="1"/>
        <rFont val="Arial"/>
        <family val="2"/>
      </rPr>
      <t xml:space="preserve">A = </t>
    </r>
    <r>
      <rPr>
        <sz val="11"/>
        <color theme="1"/>
        <rFont val="Arial"/>
        <family val="2"/>
      </rPr>
      <t>1,293,470.46</t>
    </r>
  </si>
  <si>
    <t>If 65% of the population of bats foraging over the crop diet is moths</t>
  </si>
  <si>
    <t xml:space="preserve">40 khz bat estimate </t>
  </si>
  <si>
    <r>
      <t xml:space="preserve">196,689 / </t>
    </r>
    <r>
      <rPr>
        <b/>
        <vertAlign val="superscript"/>
        <sz val="11"/>
        <color theme="1"/>
        <rFont val="Arial"/>
        <family val="2"/>
      </rPr>
      <t xml:space="preserve">B = </t>
    </r>
    <r>
      <rPr>
        <sz val="11"/>
        <color theme="1"/>
        <rFont val="Arial"/>
        <family val="2"/>
      </rPr>
      <t>1,565,197.67</t>
    </r>
  </si>
  <si>
    <r>
      <t>Bats calling at 30khz = detected 22.5 m from microphone (Wildlife Acoustics 2014) = 45 m diameter = Area = Pi x 20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= 1,520.53 m2 = </t>
    </r>
    <r>
      <rPr>
        <b/>
        <sz val="11"/>
        <color theme="1"/>
        <rFont val="Arial"/>
        <family val="2"/>
      </rPr>
      <t>0.152063</t>
    </r>
    <r>
      <rPr>
        <b/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ha bats feeding per hectare</t>
    </r>
  </si>
  <si>
    <t>30khz</t>
  </si>
  <si>
    <t>40khz</t>
  </si>
  <si>
    <t>maximum detection distance (radius)</t>
  </si>
  <si>
    <t>= 9,807,351.79</t>
  </si>
  <si>
    <r>
      <t xml:space="preserve">1565197.6699 x </t>
    </r>
    <r>
      <rPr>
        <b/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</t>
    </r>
  </si>
  <si>
    <r>
      <t xml:space="preserve">1,293,470.469  x </t>
    </r>
    <r>
      <rPr>
        <b/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= 11,867,641.77</t>
    </r>
  </si>
  <si>
    <t>Bat echolocation frequency</t>
  </si>
  <si>
    <t>Feeding buzzes</t>
  </si>
  <si>
    <t>1st</t>
  </si>
  <si>
    <t>Eggs</t>
  </si>
  <si>
    <t>2nd</t>
  </si>
  <si>
    <t>3rd</t>
  </si>
  <si>
    <t>4th</t>
  </si>
  <si>
    <t>5th</t>
  </si>
  <si>
    <t>6th</t>
  </si>
  <si>
    <t>Surviving number</t>
  </si>
  <si>
    <t xml:space="preserve">Surviving number </t>
  </si>
  <si>
    <t>Mortalitiy range</t>
  </si>
  <si>
    <t>survival to 3rd</t>
  </si>
  <si>
    <t>survival to 6th</t>
  </si>
  <si>
    <t>27–41%</t>
  </si>
  <si>
    <t>23–29%</t>
  </si>
  <si>
    <t>8–22%</t>
  </si>
  <si>
    <t>7–47%</t>
  </si>
  <si>
    <t>26-55%</t>
  </si>
  <si>
    <t>64% diet moths</t>
  </si>
  <si>
    <t>x boll weight</t>
  </si>
  <si>
    <t>no of bales prevented damage</t>
  </si>
  <si>
    <t>Damage to bolls averted</t>
  </si>
  <si>
    <t>kg of bale</t>
  </si>
  <si>
    <t>BT-cotton bolls</t>
  </si>
  <si>
    <t>$$$</t>
  </si>
  <si>
    <t>$ value per bale 14/15</t>
  </si>
  <si>
    <t>92.29 (79.18-109.51)</t>
  </si>
  <si>
    <t>28.91 (22.6-40.49)</t>
  </si>
  <si>
    <t>44.31 (35.01-58.14)</t>
  </si>
  <si>
    <t>32.14 (22.6-42.42)</t>
  </si>
  <si>
    <t>23.2 (18.87-29.73)</t>
  </si>
  <si>
    <t>45.02 (36.53-58.14)</t>
  </si>
  <si>
    <t>32.41 (24.96-38.03)</t>
  </si>
  <si>
    <t>32.67 (26.68-38.28)</t>
  </si>
  <si>
    <t>32.41 (26.4-42.42)</t>
  </si>
  <si>
    <t>46.18 (40-53.83)</t>
  </si>
  <si>
    <t>103.55 (73.99-129.94)</t>
  </si>
  <si>
    <t>33.19 (26.96-45.02)</t>
  </si>
  <si>
    <t>33.19 (24.96-41.7)</t>
  </si>
  <si>
    <t>19.83 (16.57-22.9)</t>
  </si>
  <si>
    <t>17.57 (14.5-25.54)</t>
  </si>
  <si>
    <t>21.69 (16.57-26.96)</t>
  </si>
  <si>
    <t>27.52 (24.08-30.54)</t>
  </si>
  <si>
    <t>22.3 (19.51-26.11)</t>
  </si>
  <si>
    <t>30.27 (19.83-45.95)</t>
  </si>
  <si>
    <t>69.26 (58.14-96.22)</t>
  </si>
  <si>
    <t>26.68 (21.23-31.75)</t>
  </si>
  <si>
    <t xml:space="preserve">Helicoverpa </t>
  </si>
  <si>
    <t>Moth large</t>
  </si>
  <si>
    <t xml:space="preserve">S. greyii </t>
  </si>
  <si>
    <t>Number consumed based on diet</t>
  </si>
  <si>
    <t>capture rate</t>
  </si>
  <si>
    <t>foraging time hrs</t>
  </si>
  <si>
    <t>Beetke medium</t>
  </si>
  <si>
    <t>S. greyii or S. sp.1 (Parnaby)</t>
  </si>
  <si>
    <t>Foraging time (hrs)</t>
  </si>
  <si>
    <t>bales per ha</t>
  </si>
  <si>
    <t>Moth only diet</t>
  </si>
  <si>
    <t>Beetle only diet</t>
  </si>
  <si>
    <t>diamter detection of bat</t>
  </si>
  <si>
    <t>detectio per m2</t>
  </si>
  <si>
    <t xml:space="preserve"> detection per hectare</t>
  </si>
  <si>
    <t>Average feeding buzz</t>
  </si>
  <si>
    <t>cotton grwon 2014/15</t>
  </si>
  <si>
    <t>Insects removed</t>
  </si>
  <si>
    <t>g insects consumed each night</t>
  </si>
  <si>
    <t>g</t>
  </si>
  <si>
    <t>t</t>
  </si>
  <si>
    <t>Moth (helicoverpa only)</t>
  </si>
  <si>
    <t>dry insect weight</t>
  </si>
  <si>
    <t>fresh</t>
  </si>
  <si>
    <t>Gryll</t>
  </si>
  <si>
    <t>Hemiptera(mirid)</t>
  </si>
  <si>
    <t>gryll;ideae</t>
  </si>
  <si>
    <t>Dip (tachinid)</t>
  </si>
  <si>
    <t>Beetle Staph</t>
  </si>
  <si>
    <t xml:space="preserve">tonnes of insects removed (dry) </t>
  </si>
  <si>
    <t xml:space="preserve">tonnes of insects removed (wet) </t>
  </si>
  <si>
    <t>wet weight</t>
  </si>
  <si>
    <t>Planthopper</t>
  </si>
  <si>
    <t>Cricket only diet</t>
  </si>
  <si>
    <t>% of FB</t>
  </si>
  <si>
    <t>Helicoverpa only diet to meet FMR</t>
  </si>
  <si>
    <t>/ 60 for hours to minutes</t>
  </si>
  <si>
    <t xml:space="preserve">number estimate bats </t>
  </si>
  <si>
    <t>number estimated bast</t>
  </si>
  <si>
    <t>636092-805059</t>
  </si>
  <si>
    <t>18832-23834</t>
  </si>
  <si>
    <t>343243-434419</t>
  </si>
  <si>
    <t>6595-8347</t>
  </si>
  <si>
    <t>204146-258373</t>
  </si>
  <si>
    <t>1555338-1968486</t>
  </si>
  <si>
    <t>104447-132191</t>
  </si>
  <si>
    <t>45505-57593</t>
  </si>
  <si>
    <t>58342-73839</t>
  </si>
  <si>
    <t>879991-1113745</t>
  </si>
  <si>
    <t>0-0</t>
  </si>
  <si>
    <t>95228-120524</t>
  </si>
  <si>
    <t>12709-16085</t>
  </si>
  <si>
    <t>4031-5102</t>
  </si>
  <si>
    <t>3267-4134</t>
  </si>
  <si>
    <t>106418-134686</t>
  </si>
  <si>
    <t>91310-115565</t>
  </si>
  <si>
    <t>1297527-1642191</t>
  </si>
  <si>
    <t>Chalinolobus gouldi calcs</t>
  </si>
  <si>
    <t>Reference</t>
  </si>
  <si>
    <t>Lep</t>
  </si>
  <si>
    <t>Col</t>
  </si>
  <si>
    <t>Dip</t>
  </si>
  <si>
    <t>Hem</t>
  </si>
  <si>
    <t>Orth</t>
  </si>
  <si>
    <t>FMR formula Regression Coef</t>
  </si>
  <si>
    <t>FB/ha,</t>
  </si>
  <si>
    <t>FB over whole cotton area</t>
  </si>
  <si>
    <t>Non-Bt cotton</t>
  </si>
  <si>
    <t>Nov</t>
  </si>
  <si>
    <t>Dec</t>
  </si>
  <si>
    <t>Jan</t>
  </si>
  <si>
    <t>Feb</t>
  </si>
  <si>
    <t>Mar</t>
  </si>
  <si>
    <t>Tenperature closest long term climate statistics Gunnedah</t>
  </si>
  <si>
    <t xml:space="preserve">Eggs laid (Noor) </t>
  </si>
  <si>
    <t>Temp eggs laid</t>
  </si>
  <si>
    <t>Irrigated</t>
  </si>
  <si>
    <t>Dryland</t>
  </si>
  <si>
    <t>Over dryland area</t>
  </si>
  <si>
    <t>Damage averted by CHGOU consuming 4 BT moths 5% survival</t>
  </si>
  <si>
    <t>62-78.5 t of moths</t>
  </si>
  <si>
    <t>Average Boll weight</t>
  </si>
  <si>
    <t>grams of lint per boll (g) 40%</t>
  </si>
  <si>
    <t>Areas (h) cotton grown</t>
  </si>
  <si>
    <t xml:space="preserve">value per night per bat </t>
  </si>
  <si>
    <t xml:space="preserve">bales per ha per bat </t>
  </si>
  <si>
    <t>value of estimated number of bats in cotton per hecatre (lower)</t>
  </si>
  <si>
    <t>value of estimated number of bats in cotton per hecatre (upper)</t>
  </si>
  <si>
    <t>value per hectare 2014/15 per bat</t>
  </si>
  <si>
    <t>Average Boll weight (g)</t>
  </si>
  <si>
    <t>ALL estimates irrigated and dryland combined</t>
  </si>
  <si>
    <t xml:space="preserve"> dryland </t>
  </si>
  <si>
    <t xml:space="preserve"> irrigated </t>
  </si>
  <si>
    <t>dam$$$ per bale</t>
  </si>
  <si>
    <t xml:space="preserve">x boll weight (g then kg) </t>
  </si>
  <si>
    <t>2014/15</t>
  </si>
  <si>
    <t>number of bales australia</t>
  </si>
  <si>
    <t>Cotton seed and lint farm gate value  2014/15</t>
  </si>
  <si>
    <t>bats worth of annual farm gate value</t>
  </si>
  <si>
    <t xml:space="preserve">Average </t>
  </si>
  <si>
    <t>Current yeilds 3.8-4.8 million. $539 per bale and 10.12 and 1.34 irrigated and dryland bales per ha</t>
  </si>
  <si>
    <t xml:space="preserve">bats worth of annual farm gate value (2018) last fact sheets </t>
  </si>
  <si>
    <t>FB/ha/night</t>
  </si>
  <si>
    <t>value per hectare 2014/15 per bat/ night</t>
  </si>
  <si>
    <t>Value over whole area per bat /night</t>
  </si>
  <si>
    <t xml:space="preserve">value per bale night per bat </t>
  </si>
  <si>
    <t>Irrigated area</t>
  </si>
  <si>
    <t>dryland area</t>
  </si>
  <si>
    <t>no. BT-cotton bolls prevented damage</t>
  </si>
  <si>
    <t>Irrigated- Damage to boles averted</t>
  </si>
  <si>
    <t>Cotton growing days 110 (155 total - until 1st squares ~45 days)</t>
  </si>
  <si>
    <t>lower</t>
  </si>
  <si>
    <t>upper</t>
  </si>
  <si>
    <t>average</t>
  </si>
  <si>
    <t>Damage averted by CHGOU consuming 4 BT moths 1% eggs laid to non-BT</t>
  </si>
  <si>
    <t>Yield kg/ha</t>
  </si>
  <si>
    <t>Bt cotton 1%</t>
  </si>
  <si>
    <t>half h armigera</t>
  </si>
  <si>
    <t>female</t>
  </si>
  <si>
    <t>use crop to oviposit</t>
  </si>
  <si>
    <t>eats 2 moths</t>
  </si>
  <si>
    <t>Number dead</t>
  </si>
  <si>
    <t>Bt cotton 95% less than Bt</t>
  </si>
  <si>
    <t>Average price ($ AUS) of a bale of cotton (farm gate) 2014 /15</t>
  </si>
  <si>
    <t>kg of cotton per bale</t>
  </si>
  <si>
    <t>Area (ha) total cotton grown in 2014/15</t>
  </si>
  <si>
    <t>Area (ha) of irrigated cotton grown in 2014/15</t>
  </si>
  <si>
    <t>Area (ha) of dryland cotton grown in 2014/15</t>
  </si>
  <si>
    <t>Grams of lint per boll (g) 40%</t>
  </si>
  <si>
    <t>Average boll weight (g)</t>
  </si>
  <si>
    <t>Average bales per hectare in irrigated cotton 2014 /15</t>
  </si>
  <si>
    <t>Average bales per hectare in dryland cotton 2014 /15</t>
  </si>
  <si>
    <t>Component used for extrapolations</t>
  </si>
  <si>
    <t>Value</t>
  </si>
  <si>
    <t xml:space="preserve">Bt cotton </t>
  </si>
  <si>
    <t>Capture rate</t>
  </si>
  <si>
    <t>Success rates</t>
  </si>
  <si>
    <t>40% moths</t>
  </si>
  <si>
    <t>70 % small insects)</t>
  </si>
  <si>
    <t xml:space="preserve">arial </t>
  </si>
  <si>
    <t xml:space="preserve">max capture rate </t>
  </si>
  <si>
    <t>2 per min (with handling time)</t>
  </si>
  <si>
    <t>4.2 min (mosquitos</t>
  </si>
  <si>
    <t>min foragin time hrs</t>
  </si>
  <si>
    <t>hrs</t>
  </si>
  <si>
    <t>1-2 captures per second.</t>
  </si>
  <si>
    <t> Bat species</t>
  </si>
  <si>
    <t>Moth (large size) only diet</t>
  </si>
  <si>
    <t>Beetle (medium size) only diet</t>
  </si>
  <si>
    <t>Field cricket only diet</t>
  </si>
  <si>
    <t>Mirid only diet</t>
  </si>
  <si>
    <t>Leafhopper only diet</t>
  </si>
  <si>
    <t>diptera (mosquito / gnat) only diet</t>
  </si>
  <si>
    <t>diptera (tachnid) only diet</t>
  </si>
  <si>
    <t>Nyctophilus geoffroyi</t>
  </si>
  <si>
    <t>0.1-0.2</t>
  </si>
  <si>
    <t>0-0.1</t>
  </si>
  <si>
    <t>5 insects</t>
  </si>
  <si>
    <t>10 insects</t>
  </si>
  <si>
    <t>eattack rate per second</t>
  </si>
  <si>
    <t xml:space="preserve">per second </t>
  </si>
  <si>
    <t>per minute</t>
  </si>
  <si>
    <t>No of  small moth</t>
  </si>
  <si>
    <t>Small moth</t>
  </si>
  <si>
    <t>small moth</t>
  </si>
  <si>
    <t>10-15 mm</t>
  </si>
  <si>
    <t>14-21.5mm</t>
  </si>
  <si>
    <t>beetles</t>
  </si>
  <si>
    <t>Moth (small size) only diet</t>
  </si>
  <si>
    <r>
      <t>S. greyii or S. sp.1</t>
    </r>
    <r>
      <rPr>
        <sz val="10"/>
        <color rgb="FF000000"/>
        <rFont val="Calibri"/>
        <family val="2"/>
        <scheme val="minor"/>
      </rPr>
      <t xml:space="preserve"> (</t>
    </r>
    <r>
      <rPr>
        <i/>
        <sz val="10"/>
        <color rgb="FF000000"/>
        <rFont val="Calibri"/>
        <family val="2"/>
        <scheme val="minor"/>
      </rPr>
      <t>Parnaby)</t>
    </r>
  </si>
  <si>
    <t>moth</t>
  </si>
  <si>
    <t>beetle</t>
  </si>
  <si>
    <t>rydell 2002</t>
  </si>
  <si>
    <t>60/12</t>
  </si>
  <si>
    <t>=</t>
  </si>
  <si>
    <t>number f insects taken per minute</t>
  </si>
  <si>
    <t>feeding buzzes rate per minute</t>
  </si>
  <si>
    <t>add 4.2 sinterval</t>
  </si>
  <si>
    <t>Lee and Mcracken 2002 0.7 +- 0.3</t>
  </si>
  <si>
    <t>inclueds rate and interval</t>
  </si>
  <si>
    <t>5-10 captures per minute 92% success</t>
  </si>
  <si>
    <t>1 insect per min</t>
  </si>
  <si>
    <t>1.4 insect per min</t>
  </si>
  <si>
    <t>crickets</t>
  </si>
  <si>
    <t>1 in 62 s, 5-12 minutes</t>
  </si>
  <si>
    <t xml:space="preserve">assume 65% success of feeding buzz </t>
  </si>
  <si>
    <t>Originally used cell O18 but now calculated at 65% success of feeding buzzes Q18</t>
  </si>
  <si>
    <t>at 65% capture success rate</t>
  </si>
  <si>
    <t>average nightly feeding buzzes over whole area</t>
  </si>
  <si>
    <t>FB/ha successful 65%</t>
  </si>
  <si>
    <t>Bat species </t>
  </si>
  <si>
    <t>Feeding buzzes (total no. per detector)</t>
  </si>
  <si>
    <t>Feeding buzzes (% of total)</t>
  </si>
  <si>
    <r>
      <t>% of feeding buzzes extrapolated by min-max estimate </t>
    </r>
    <r>
      <rPr>
        <vertAlign val="superscript"/>
        <sz val="8"/>
        <color rgb="FF000000"/>
        <rFont val="Arial"/>
        <family val="2"/>
      </rPr>
      <t>1</t>
    </r>
  </si>
  <si>
    <r>
      <t xml:space="preserve">Number of </t>
    </r>
    <r>
      <rPr>
        <i/>
        <sz val="8"/>
        <color rgb="FF000000"/>
        <rFont val="Arial"/>
        <family val="2"/>
      </rPr>
      <t>H. armigera</t>
    </r>
    <r>
      <rPr>
        <sz val="8"/>
        <color rgb="FF000000"/>
        <rFont val="Arial"/>
        <family val="2"/>
      </rPr>
      <t xml:space="preserve"> removed, on a </t>
    </r>
    <r>
      <rPr>
        <i/>
        <sz val="8"/>
        <color rgb="FF000000"/>
        <rFont val="Arial"/>
        <family val="2"/>
      </rPr>
      <t>H. armigera</t>
    </r>
    <r>
      <rPr>
        <sz val="8"/>
        <color rgb="FF000000"/>
        <rFont val="Arial"/>
        <family val="2"/>
      </rPr>
      <t xml:space="preserve"> only diet, per night, to meet FMR</t>
    </r>
  </si>
  <si>
    <r>
      <t xml:space="preserve">Number (range) of </t>
    </r>
    <r>
      <rPr>
        <i/>
        <sz val="8"/>
        <color rgb="FF000000"/>
        <rFont val="Arial"/>
        <family val="2"/>
      </rPr>
      <t>H. armigera</t>
    </r>
    <r>
      <rPr>
        <sz val="8"/>
        <color rgb="FF000000"/>
        <rFont val="Arial"/>
        <family val="2"/>
      </rPr>
      <t xml:space="preserve"> moths required to consume to meet daily FMR requirements </t>
    </r>
    <r>
      <rPr>
        <vertAlign val="superscript"/>
        <sz val="8"/>
        <color rgb="FF000000"/>
        <rFont val="Arial"/>
        <family val="2"/>
      </rPr>
      <t>2</t>
    </r>
  </si>
  <si>
    <t>15330-19403</t>
  </si>
  <si>
    <t>626-792</t>
  </si>
  <si>
    <t>15800-19997</t>
  </si>
  <si>
    <t>156-198</t>
  </si>
  <si>
    <t>Mormopterus ridei</t>
  </si>
  <si>
    <t>6727-8513</t>
  </si>
  <si>
    <t>M. petersi</t>
  </si>
  <si>
    <t>50841-64345</t>
  </si>
  <si>
    <t>M. planiceps</t>
  </si>
  <si>
    <t>3442-4356</t>
  </si>
  <si>
    <t>469-594</t>
  </si>
  <si>
    <t>1877-2376</t>
  </si>
  <si>
    <t>28314-35835</t>
  </si>
  <si>
    <t>5788-7325</t>
  </si>
  <si>
    <t>3754-4752</t>
  </si>
  <si>
    <t>1408-1782</t>
  </si>
  <si>
    <t>51936-65731</t>
  </si>
  <si>
    <t> Total</t>
  </si>
  <si>
    <t>187406-237187</t>
  </si>
  <si>
    <t>5,463,021-6,914,173</t>
  </si>
  <si>
    <t>FB per ha</t>
  </si>
  <si>
    <t>based on microphone detection distance</t>
  </si>
  <si>
    <t>detection over whole area</t>
  </si>
  <si>
    <t>Average</t>
  </si>
  <si>
    <t>detection area over whole cotton</t>
  </si>
  <si>
    <t xml:space="preserve">check </t>
  </si>
  <si>
    <t>% of  extrap feeding buzz 30 khz</t>
  </si>
  <si>
    <t>% of feeding buzz extrapolated pver the region40</t>
  </si>
  <si>
    <t xml:space="preserve">FB /ha over whole region </t>
  </si>
  <si>
    <t>number of buzzes 65% success / 64% diet moths (lower)</t>
  </si>
  <si>
    <t>successful</t>
  </si>
  <si>
    <t>Average detections / detectorot night/ per /ha</t>
  </si>
  <si>
    <t>40-51</t>
  </si>
  <si>
    <t>tonne</t>
  </si>
  <si>
    <t>3.9-4.9</t>
  </si>
  <si>
    <t>0.2-0.2</t>
  </si>
  <si>
    <t>4-5.1</t>
  </si>
  <si>
    <t>1.7-2.2</t>
  </si>
  <si>
    <t>12.9-16.4</t>
  </si>
  <si>
    <t>0.9-1.1</t>
  </si>
  <si>
    <t>0.5-0.6</t>
  </si>
  <si>
    <t>7.2-9.1</t>
  </si>
  <si>
    <t>1.5-1.9</t>
  </si>
  <si>
    <t>1-1.2</t>
  </si>
  <si>
    <t>0.4-0.5</t>
  </si>
  <si>
    <t>13.2-16.7</t>
  </si>
  <si>
    <t>47.7-60.3</t>
  </si>
  <si>
    <t>% of total FB recorded dureing survey</t>
  </si>
  <si>
    <t>Successful feeding buzzes (65%)</t>
  </si>
  <si>
    <t>767061-970811</t>
  </si>
  <si>
    <t>31309-39625</t>
  </si>
  <si>
    <t>790542-1000530</t>
  </si>
  <si>
    <t>7827-9906</t>
  </si>
  <si>
    <t>336567-425968</t>
  </si>
  <si>
    <t>2543823-3219526</t>
  </si>
  <si>
    <t>172197-217937</t>
  </si>
  <si>
    <t>23481-29719</t>
  </si>
  <si>
    <t>93926-118875</t>
  </si>
  <si>
    <t>1416714-1793029</t>
  </si>
  <si>
    <t xml:space="preserve">                     -   -                       -   </t>
  </si>
  <si>
    <t>289604-366531</t>
  </si>
  <si>
    <t>187852-237750</t>
  </si>
  <si>
    <t>70444-89156</t>
  </si>
  <si>
    <t>2598613-3288870</t>
  </si>
  <si>
    <t>9376924-11867670</t>
  </si>
  <si>
    <t>498589-631027</t>
  </si>
  <si>
    <t>20351-25756</t>
  </si>
  <si>
    <t>513852-650344</t>
  </si>
  <si>
    <t>5088-6439</t>
  </si>
  <si>
    <t>218769-276879</t>
  </si>
  <si>
    <t>1653485-2092692</t>
  </si>
  <si>
    <t>111928-141659</t>
  </si>
  <si>
    <t>15263-19317</t>
  </si>
  <si>
    <t>61052-77269</t>
  </si>
  <si>
    <t>920864-1165469</t>
  </si>
  <si>
    <t xml:space="preserve">                        -   -                        -   </t>
  </si>
  <si>
    <t>188243-238245</t>
  </si>
  <si>
    <t>122104-154537</t>
  </si>
  <si>
    <t>45789-57951</t>
  </si>
  <si>
    <t>1689099-2137766</t>
  </si>
  <si>
    <t>6095001-7713985</t>
  </si>
  <si>
    <t>number of helicoverpa removed based on % feeding buzz</t>
  </si>
  <si>
    <t xml:space="preserve">                          -   -                           -   </t>
  </si>
  <si>
    <t>number of helisoverpa sized moths removed based on FMR and FB</t>
  </si>
  <si>
    <t xml:space="preserve">              -   </t>
  </si>
  <si>
    <t>0.3-0.4</t>
  </si>
  <si>
    <t>None of this is correct</t>
  </si>
  <si>
    <t>65% pests</t>
  </si>
  <si>
    <t>Insects consumed</t>
  </si>
  <si>
    <t>Dry insect weight (g)</t>
  </si>
  <si>
    <t>Fresh (wet) insect weight (g)</t>
  </si>
  <si>
    <r>
      <t>Lepidoptera (</t>
    </r>
    <r>
      <rPr>
        <i/>
        <sz val="9"/>
        <color rgb="FF000000"/>
        <rFont val="Arial"/>
        <family val="2"/>
      </rPr>
      <t>H. armigera</t>
    </r>
    <r>
      <rPr>
        <sz val="9"/>
        <color rgb="FF000000"/>
        <rFont val="Arial"/>
        <family val="2"/>
      </rPr>
      <t>)</t>
    </r>
  </si>
  <si>
    <t>Coleoptera (Staphilinadea)</t>
  </si>
  <si>
    <t>Diptera  (Tachinidae)</t>
  </si>
  <si>
    <t>Hemiptera (Mirid)</t>
  </si>
  <si>
    <t>Gryllidae (Cricket)</t>
  </si>
  <si>
    <t>Total weight insects consumed</t>
  </si>
  <si>
    <t> Percent of body weight consumed in insects</t>
  </si>
  <si>
    <t>no.</t>
  </si>
  <si>
    <t>262553.9-332294.7</t>
  </si>
  <si>
    <t>Total insects (wet) t</t>
  </si>
  <si>
    <t>1312769.4-1661473.7</t>
  </si>
  <si>
    <t>1640961.7-2076842.2</t>
  </si>
  <si>
    <t>60950-77139.9</t>
  </si>
  <si>
    <t>8.2-10.4</t>
  </si>
  <si>
    <t>149.8-189.6</t>
  </si>
  <si>
    <t>0.6-0.8</t>
  </si>
  <si>
    <t>7.8-9.9</t>
  </si>
  <si>
    <t>166.8-211.1</t>
  </si>
  <si>
    <t>108.4-137.2</t>
  </si>
  <si>
    <t>if I use the number of successful feeding buzzes and multiply by the average wt of insect</t>
  </si>
  <si>
    <t>tonnes of moths removed</t>
  </si>
  <si>
    <t xml:space="preserve">tonnes average insects </t>
  </si>
  <si>
    <t>feeding buzzes</t>
  </si>
  <si>
    <t>number average insects</t>
  </si>
  <si>
    <t>detection events per ha</t>
  </si>
  <si>
    <t>Helicovera size dry</t>
  </si>
  <si>
    <t>average insect</t>
  </si>
  <si>
    <t>wt of helicoverpa removed (t) per night</t>
  </si>
  <si>
    <t>wgt per bat of moths removed</t>
  </si>
  <si>
    <t>Helicoverpa only diet to meet FMR (wet weight)</t>
  </si>
  <si>
    <t xml:space="preserve">wet weight </t>
  </si>
  <si>
    <t>Helicoverpa only diet to meet FMR (dry weight insect)</t>
  </si>
  <si>
    <t>number of buzzes 35% success / 92% diet moths (lower)</t>
  </si>
  <si>
    <t>65 %successful</t>
  </si>
  <si>
    <t>tonnes</t>
  </si>
  <si>
    <t>246994-312601</t>
  </si>
  <si>
    <t>10081-12759</t>
  </si>
  <si>
    <t>254555-322171</t>
  </si>
  <si>
    <t>2520-3190</t>
  </si>
  <si>
    <t>108375-137162</t>
  </si>
  <si>
    <t>819111-1036687</t>
  </si>
  <si>
    <t>55448-70176</t>
  </si>
  <si>
    <t>7561-9569</t>
  </si>
  <si>
    <t>30244-38278</t>
  </si>
  <si>
    <t>456182-577355</t>
  </si>
  <si>
    <t>93253-118023</t>
  </si>
  <si>
    <t>60488-76555</t>
  </si>
  <si>
    <t>22683-28708</t>
  </si>
  <si>
    <t>836753-1059016</t>
  </si>
  <si>
    <t>3019370-3821390</t>
  </si>
  <si>
    <t>92% diet moths/35%</t>
  </si>
  <si>
    <t>wgt of moths eaten nightly</t>
  </si>
  <si>
    <t>no of bats</t>
  </si>
  <si>
    <t>dry wgt</t>
  </si>
  <si>
    <t>grams per individual bat eats( dry)</t>
  </si>
  <si>
    <t>39431-49904</t>
  </si>
  <si>
    <t>1609-2037</t>
  </si>
  <si>
    <t>40638-51432</t>
  </si>
  <si>
    <t>402-509</t>
  </si>
  <si>
    <t>17301-21897</t>
  </si>
  <si>
    <t>130765-165499</t>
  </si>
  <si>
    <t>8852-11203</t>
  </si>
  <si>
    <t>1207-1528</t>
  </si>
  <si>
    <t>4828-6111</t>
  </si>
  <si>
    <t>72826-92170</t>
  </si>
  <si>
    <t xml:space="preserve">                         -   -                         -   </t>
  </si>
  <si>
    <t>14887-18841</t>
  </si>
  <si>
    <t>9656-12221</t>
  </si>
  <si>
    <t>3621-4583</t>
  </si>
  <si>
    <t>133581-169064</t>
  </si>
  <si>
    <t>482019-610056</t>
  </si>
  <si>
    <t>g of helicoverpa sized moths removed nightly (wet)</t>
  </si>
  <si>
    <t>g of helicoverpa sized moths removed nightly (dry)</t>
  </si>
  <si>
    <t>0.48-0.61</t>
  </si>
  <si>
    <t>14941-18910</t>
  </si>
  <si>
    <t>610-772</t>
  </si>
  <si>
    <t>15398-19488</t>
  </si>
  <si>
    <t>152-193</t>
  </si>
  <si>
    <t>6556-8297</t>
  </si>
  <si>
    <t>49549-62710</t>
  </si>
  <si>
    <t>3354-4245</t>
  </si>
  <si>
    <t>457-579</t>
  </si>
  <si>
    <t>1829-2315</t>
  </si>
  <si>
    <t>27595-34925</t>
  </si>
  <si>
    <t>5641-7139</t>
  </si>
  <si>
    <t>3659-4631</t>
  </si>
  <si>
    <t>1372-1737</t>
  </si>
  <si>
    <t>50616-64061</t>
  </si>
  <si>
    <t>182645-231160</t>
  </si>
  <si>
    <t>0.18-0.23</t>
  </si>
  <si>
    <r>
      <t xml:space="preserve">Detection area over the cotton growing region (ha) </t>
    </r>
    <r>
      <rPr>
        <vertAlign val="superscript"/>
        <sz val="9"/>
        <color rgb="FF000000"/>
        <rFont val="Arial"/>
        <family val="2"/>
      </rPr>
      <t>b</t>
    </r>
  </si>
  <si>
    <r>
      <t>No.of foraging attempts and estimated successful foraging attempts</t>
    </r>
    <r>
      <rPr>
        <vertAlign val="superscript"/>
        <sz val="9"/>
        <color rgb="FF000000"/>
        <rFont val="Arial"/>
        <family val="2"/>
      </rPr>
      <t xml:space="preserve"> c</t>
    </r>
  </si>
  <si>
    <r>
      <t xml:space="preserve">Estimated no. of moths removed </t>
    </r>
    <r>
      <rPr>
        <vertAlign val="superscript"/>
        <sz val="9"/>
        <color rgb="FF000000"/>
        <rFont val="Arial"/>
        <family val="2"/>
      </rPr>
      <t>e</t>
    </r>
  </si>
  <si>
    <t>3,019,370–3,821,390</t>
  </si>
  <si>
    <t>48-60 (31-39)</t>
  </si>
  <si>
    <t>Large (14–21.5) sized moths removed (t) nightly</t>
  </si>
  <si>
    <r>
      <t xml:space="preserve">Wet and dry weight (t) of insects removed by bats over the cotton growing region 2014/15 </t>
    </r>
    <r>
      <rPr>
        <vertAlign val="superscript"/>
        <sz val="9"/>
        <color rgb="FF000000"/>
        <rFont val="Arial"/>
        <family val="2"/>
      </rPr>
      <t>d</t>
    </r>
  </si>
  <si>
    <r>
      <t>Maximum detection distance (</t>
    </r>
    <r>
      <rPr>
        <sz val="9"/>
        <color theme="1"/>
        <rFont val="Arial"/>
        <family val="2"/>
      </rPr>
      <t>ha</t>
    </r>
    <r>
      <rPr>
        <vertAlign val="superscript"/>
        <sz val="11"/>
        <color theme="1"/>
        <rFont val="Arial"/>
        <family val="2"/>
      </rPr>
      <t>−1</t>
    </r>
    <r>
      <rPr>
        <sz val="9"/>
        <color rgb="FF000000"/>
        <rFont val="Arial"/>
        <family val="2"/>
      </rPr>
      <t xml:space="preserve">) for bats calling at 30kHz and 40kHz </t>
    </r>
    <r>
      <rPr>
        <vertAlign val="superscript"/>
        <sz val="9"/>
        <color rgb="FF000000"/>
        <rFont val="Arial"/>
        <family val="2"/>
      </rPr>
      <t>a</t>
    </r>
  </si>
  <si>
    <t>22.5–20.0</t>
  </si>
  <si>
    <t>1 565 201–1 236 702</t>
  </si>
  <si>
    <t>9 376 924–11 867 670 (6 095 001–7 713 985)</t>
  </si>
  <si>
    <t>Nightly feeding buzzes and estimated successful feeding buzzes / ha</t>
  </si>
  <si>
    <t>0.48–0.61 (dry 0.18–0.23)</t>
  </si>
  <si>
    <t>77–98 (dry 29–37)</t>
  </si>
  <si>
    <t>wet</t>
  </si>
  <si>
    <t>no of bats ( based on forfilmet of fry FMR</t>
  </si>
  <si>
    <t>kgs of moths (fresh weight) removed per night based on FMR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</si>
</sst>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0.0"/>
    <numFmt numFmtId="167" formatCode="0.0%"/>
    <numFmt numFmtId="168" formatCode="_(* #,##0_);_(* \(#,##0\);_(* &quot;-&quot;??_);_(@_)"/>
    <numFmt numFmtId="169" formatCode="&quot;$&quot;#,##0.00"/>
    <numFmt numFmtId="170" formatCode="_(* #,##0.0_);_(* \(#,##0.0\);_(* &quot;-&quot;??_);_(@_)"/>
    <numFmt numFmtId="171" formatCode="_(&quot;$&quot;* #,##0.0_);_(&quot;$&quot;* \(#,##0.0\);_(&quot;$&quot;* &quot;-&quot;??_);_(@_)"/>
    <numFmt numFmtId="172" formatCode="_(&quot;$&quot;* #,##0_);_(&quot;$&quot;* \(#,##0\);_(&quot;$&quot;* &quot;-&quot;??_);_(@_)"/>
    <numFmt numFmtId="181" formatCode="0.0000000"/>
  </numFmts>
  <fonts count="3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24"/>
      <color theme="1"/>
      <name val="Calibri"/>
      <family val="2"/>
      <scheme val="minor"/>
    </font>
    <font>
      <sz val="9"/>
      <color rgb="FF242021"/>
      <name val="SwiftNeueLTPro-Book"/>
    </font>
    <font>
      <vertAlign val="superscript"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i/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61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right" vertical="center" wrapText="1"/>
    </xf>
    <xf numFmtId="164" fontId="0" fillId="0" borderId="0" xfId="0" applyNumberFormat="1"/>
    <xf numFmtId="0" fontId="2" fillId="3" borderId="1" xfId="0" applyFont="1" applyFill="1" applyBorder="1" applyAlignment="1">
      <alignment horizontal="right" vertical="center"/>
    </xf>
    <xf numFmtId="0" fontId="5" fillId="3" borderId="1" xfId="0" applyFont="1" applyFill="1" applyBorder="1"/>
    <xf numFmtId="2" fontId="5" fillId="3" borderId="1" xfId="0" applyNumberFormat="1" applyFont="1" applyFill="1" applyBorder="1"/>
    <xf numFmtId="0" fontId="5" fillId="3" borderId="0" xfId="0" applyFont="1" applyFill="1"/>
    <xf numFmtId="2" fontId="5" fillId="3" borderId="0" xfId="0" applyNumberFormat="1" applyFont="1" applyFill="1"/>
    <xf numFmtId="0" fontId="6" fillId="3" borderId="1" xfId="0" applyFont="1" applyFill="1" applyBorder="1" applyAlignment="1">
      <alignment horizontal="right" vertical="center"/>
    </xf>
    <xf numFmtId="1" fontId="5" fillId="3" borderId="0" xfId="0" applyNumberFormat="1" applyFont="1" applyFill="1"/>
    <xf numFmtId="0" fontId="2" fillId="3" borderId="4" xfId="0" applyFont="1" applyFill="1" applyBorder="1" applyAlignment="1">
      <alignment horizontal="right" vertical="center"/>
    </xf>
    <xf numFmtId="2" fontId="5" fillId="3" borderId="4" xfId="0" applyNumberFormat="1" applyFont="1" applyFill="1" applyBorder="1"/>
    <xf numFmtId="0" fontId="6" fillId="3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 wrapText="1"/>
    </xf>
    <xf numFmtId="0" fontId="5" fillId="3" borderId="4" xfId="0" applyFont="1" applyFill="1" applyBorder="1"/>
    <xf numFmtId="0" fontId="0" fillId="0" borderId="4" xfId="0" applyBorder="1"/>
    <xf numFmtId="164" fontId="5" fillId="3" borderId="0" xfId="0" applyNumberFormat="1" applyFont="1" applyFill="1"/>
    <xf numFmtId="165" fontId="5" fillId="3" borderId="0" xfId="0" applyNumberFormat="1" applyFont="1" applyFill="1"/>
    <xf numFmtId="0" fontId="2" fillId="4" borderId="1" xfId="0" applyFont="1" applyFill="1" applyBorder="1" applyAlignment="1">
      <alignment horizontal="right" vertical="center"/>
    </xf>
    <xf numFmtId="2" fontId="5" fillId="4" borderId="1" xfId="0" applyNumberFormat="1" applyFont="1" applyFill="1" applyBorder="1"/>
    <xf numFmtId="0" fontId="6" fillId="4" borderId="1" xfId="0" applyFont="1" applyFill="1" applyBorder="1" applyAlignment="1">
      <alignment horizontal="right" vertical="center"/>
    </xf>
    <xf numFmtId="0" fontId="1" fillId="4" borderId="0" xfId="0" applyFont="1" applyFill="1" applyAlignment="1">
      <alignment horizontal="right" vertical="center" wrapText="1"/>
    </xf>
    <xf numFmtId="1" fontId="5" fillId="4" borderId="0" xfId="0" applyNumberFormat="1" applyFont="1" applyFill="1"/>
    <xf numFmtId="0" fontId="5" fillId="4" borderId="1" xfId="0" applyFont="1" applyFill="1" applyBorder="1"/>
    <xf numFmtId="0" fontId="2" fillId="4" borderId="5" xfId="0" applyFont="1" applyFill="1" applyBorder="1" applyAlignment="1">
      <alignment horizontal="right" vertical="center"/>
    </xf>
    <xf numFmtId="2" fontId="5" fillId="4" borderId="5" xfId="0" applyNumberFormat="1" applyFont="1" applyFill="1" applyBorder="1"/>
    <xf numFmtId="0" fontId="5" fillId="4" borderId="5" xfId="0" applyFont="1" applyFill="1" applyBorder="1"/>
    <xf numFmtId="2" fontId="0" fillId="0" borderId="4" xfId="0" applyNumberFormat="1" applyBorder="1"/>
    <xf numFmtId="1" fontId="0" fillId="0" borderId="4" xfId="0" applyNumberFormat="1" applyBorder="1"/>
    <xf numFmtId="49" fontId="0" fillId="0" borderId="4" xfId="0" applyNumberFormat="1" applyBorder="1"/>
    <xf numFmtId="0" fontId="0" fillId="0" borderId="0" xfId="0" applyAlignment="1">
      <alignment horizontal="left" vertical="top"/>
    </xf>
    <xf numFmtId="165" fontId="0" fillId="0" borderId="0" xfId="0" applyNumberFormat="1"/>
    <xf numFmtId="2" fontId="0" fillId="0" borderId="0" xfId="0" applyNumberFormat="1"/>
    <xf numFmtId="9" fontId="0" fillId="0" borderId="0" xfId="0" applyNumberFormat="1"/>
    <xf numFmtId="0" fontId="0" fillId="0" borderId="0" xfId="0" applyNumberFormat="1" applyAlignment="1">
      <alignment horizontal="right" vertical="top"/>
    </xf>
    <xf numFmtId="165" fontId="0" fillId="5" borderId="0" xfId="0" applyNumberFormat="1" applyFill="1"/>
    <xf numFmtId="0" fontId="0" fillId="6" borderId="0" xfId="0" applyFill="1"/>
    <xf numFmtId="165" fontId="0" fillId="6" borderId="0" xfId="0" applyNumberFormat="1" applyFill="1"/>
    <xf numFmtId="2" fontId="0" fillId="6" borderId="0" xfId="0" applyNumberFormat="1" applyFill="1"/>
    <xf numFmtId="9" fontId="0" fillId="6" borderId="0" xfId="0" applyNumberFormat="1" applyFill="1"/>
    <xf numFmtId="0" fontId="0" fillId="3" borderId="0" xfId="0" applyFill="1"/>
    <xf numFmtId="0" fontId="1" fillId="2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2" borderId="7" xfId="0" applyFill="1" applyBorder="1" applyAlignment="1">
      <alignment horizontal="center" vertical="center"/>
    </xf>
    <xf numFmtId="0" fontId="3" fillId="3" borderId="0" xfId="1" applyFill="1" applyAlignment="1">
      <alignment horizontal="center"/>
    </xf>
    <xf numFmtId="0" fontId="9" fillId="3" borderId="0" xfId="0" applyFont="1" applyFill="1" applyAlignment="1">
      <alignment horizontal="center" vertical="center"/>
    </xf>
    <xf numFmtId="165" fontId="0" fillId="3" borderId="0" xfId="0" applyNumberFormat="1" applyFill="1" applyAlignment="1">
      <alignment horizontal="center"/>
    </xf>
    <xf numFmtId="2" fontId="5" fillId="7" borderId="0" xfId="0" applyNumberFormat="1" applyFont="1" applyFill="1"/>
    <xf numFmtId="0" fontId="5" fillId="7" borderId="0" xfId="0" applyFont="1" applyFill="1"/>
    <xf numFmtId="0" fontId="5" fillId="7" borderId="1" xfId="0" applyFont="1" applyFill="1" applyBorder="1"/>
    <xf numFmtId="0" fontId="6" fillId="7" borderId="1" xfId="0" applyFont="1" applyFill="1" applyBorder="1" applyAlignment="1">
      <alignment horizontal="right" vertical="center"/>
    </xf>
    <xf numFmtId="1" fontId="5" fillId="7" borderId="0" xfId="0" applyNumberFormat="1" applyFont="1" applyFill="1"/>
    <xf numFmtId="9" fontId="0" fillId="0" borderId="4" xfId="0" applyNumberFormat="1" applyBorder="1" applyAlignment="1">
      <alignment horizontal="left" vertical="top"/>
    </xf>
    <xf numFmtId="0" fontId="6" fillId="4" borderId="10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right" vertical="center"/>
    </xf>
    <xf numFmtId="1" fontId="5" fillId="7" borderId="1" xfId="0" applyNumberFormat="1" applyFont="1" applyFill="1" applyBorder="1"/>
    <xf numFmtId="1" fontId="5" fillId="5" borderId="1" xfId="0" applyNumberFormat="1" applyFont="1" applyFill="1" applyBorder="1"/>
    <xf numFmtId="1" fontId="5" fillId="5" borderId="0" xfId="0" applyNumberFormat="1" applyFont="1" applyFill="1"/>
    <xf numFmtId="0" fontId="1" fillId="3" borderId="0" xfId="0" applyFont="1" applyFill="1" applyAlignment="1">
      <alignment horizontal="right" vertical="center" wrapText="1"/>
    </xf>
    <xf numFmtId="1" fontId="5" fillId="3" borderId="1" xfId="0" applyNumberFormat="1" applyFont="1" applyFill="1" applyBorder="1"/>
    <xf numFmtId="2" fontId="5" fillId="5" borderId="1" xfId="0" applyNumberFormat="1" applyFont="1" applyFill="1" applyBorder="1"/>
    <xf numFmtId="0" fontId="6" fillId="5" borderId="1" xfId="0" applyFont="1" applyFill="1" applyBorder="1" applyAlignment="1">
      <alignment horizontal="right" vertical="center"/>
    </xf>
    <xf numFmtId="0" fontId="6" fillId="5" borderId="5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wrapText="1"/>
    </xf>
    <xf numFmtId="0" fontId="6" fillId="5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wrapText="1"/>
    </xf>
    <xf numFmtId="0" fontId="5" fillId="8" borderId="0" xfId="0" applyFont="1" applyFill="1"/>
    <xf numFmtId="2" fontId="5" fillId="7" borderId="0" xfId="0" applyNumberFormat="1" applyFont="1" applyFill="1" applyBorder="1" applyAlignment="1">
      <alignment horizontal="center"/>
    </xf>
    <xf numFmtId="2" fontId="5" fillId="7" borderId="13" xfId="0" applyNumberFormat="1" applyFont="1" applyFill="1" applyBorder="1"/>
    <xf numFmtId="0" fontId="5" fillId="7" borderId="13" xfId="0" applyFont="1" applyFill="1" applyBorder="1"/>
    <xf numFmtId="0" fontId="5" fillId="3" borderId="13" xfId="0" applyFont="1" applyFill="1" applyBorder="1"/>
    <xf numFmtId="0" fontId="5" fillId="8" borderId="1" xfId="0" applyFont="1" applyFill="1" applyBorder="1"/>
    <xf numFmtId="2" fontId="5" fillId="7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/>
    <xf numFmtId="0" fontId="0" fillId="0" borderId="1" xfId="0" applyBorder="1" applyAlignment="1"/>
    <xf numFmtId="0" fontId="6" fillId="3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wrapText="1"/>
    </xf>
    <xf numFmtId="2" fontId="5" fillId="7" borderId="1" xfId="0" applyNumberFormat="1" applyFont="1" applyFill="1" applyBorder="1" applyAlignment="1"/>
    <xf numFmtId="0" fontId="5" fillId="7" borderId="1" xfId="0" applyFont="1" applyFill="1" applyBorder="1" applyAlignment="1"/>
    <xf numFmtId="0" fontId="5" fillId="3" borderId="1" xfId="0" applyFont="1" applyFill="1" applyBorder="1" applyAlignment="1"/>
    <xf numFmtId="0" fontId="6" fillId="4" borderId="1" xfId="0" applyFont="1" applyFill="1" applyBorder="1" applyAlignment="1">
      <alignment horizontal="right"/>
    </xf>
    <xf numFmtId="0" fontId="8" fillId="7" borderId="1" xfId="0" applyFont="1" applyFill="1" applyBorder="1" applyAlignment="1"/>
    <xf numFmtId="0" fontId="0" fillId="0" borderId="1" xfId="0" applyBorder="1"/>
    <xf numFmtId="0" fontId="0" fillId="3" borderId="1" xfId="0" applyFill="1" applyBorder="1" applyAlignment="1">
      <alignment horizontal="center"/>
    </xf>
    <xf numFmtId="2" fontId="0" fillId="0" borderId="1" xfId="0" applyNumberFormat="1" applyBorder="1"/>
    <xf numFmtId="2" fontId="5" fillId="7" borderId="1" xfId="0" applyNumberFormat="1" applyFont="1" applyFill="1" applyBorder="1"/>
    <xf numFmtId="0" fontId="5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6" fontId="5" fillId="5" borderId="1" xfId="0" applyNumberFormat="1" applyFont="1" applyFill="1" applyBorder="1"/>
    <xf numFmtId="1" fontId="6" fillId="7" borderId="1" xfId="0" applyNumberFormat="1" applyFont="1" applyFill="1" applyBorder="1" applyAlignment="1">
      <alignment horizontal="right" vertical="center" wrapText="1"/>
    </xf>
    <xf numFmtId="1" fontId="5" fillId="3" borderId="1" xfId="0" applyNumberFormat="1" applyFont="1" applyFill="1" applyBorder="1" applyAlignment="1">
      <alignment wrapText="1"/>
    </xf>
    <xf numFmtId="1" fontId="6" fillId="7" borderId="1" xfId="0" applyNumberFormat="1" applyFont="1" applyFill="1" applyBorder="1" applyAlignment="1">
      <alignment horizontal="right" vertical="center"/>
    </xf>
    <xf numFmtId="1" fontId="5" fillId="3" borderId="13" xfId="0" applyNumberFormat="1" applyFont="1" applyFill="1" applyBorder="1"/>
    <xf numFmtId="1" fontId="5" fillId="3" borderId="4" xfId="0" applyNumberFormat="1" applyFont="1" applyFill="1" applyBorder="1"/>
    <xf numFmtId="1" fontId="6" fillId="5" borderId="1" xfId="0" applyNumberFormat="1" applyFont="1" applyFill="1" applyBorder="1" applyAlignment="1">
      <alignment horizontal="right" vertical="center"/>
    </xf>
    <xf numFmtId="1" fontId="5" fillId="5" borderId="13" xfId="0" applyNumberFormat="1" applyFont="1" applyFill="1" applyBorder="1"/>
    <xf numFmtId="0" fontId="5" fillId="3" borderId="0" xfId="0" applyFont="1" applyFill="1" applyAlignment="1">
      <alignment horizontal="right"/>
    </xf>
    <xf numFmtId="2" fontId="6" fillId="7" borderId="1" xfId="0" applyNumberFormat="1" applyFont="1" applyFill="1" applyBorder="1" applyAlignment="1">
      <alignment horizontal="right" vertical="center" wrapText="1"/>
    </xf>
    <xf numFmtId="2" fontId="5" fillId="3" borderId="13" xfId="0" applyNumberFormat="1" applyFont="1" applyFill="1" applyBorder="1"/>
    <xf numFmtId="1" fontId="6" fillId="5" borderId="1" xfId="0" applyNumberFormat="1" applyFont="1" applyFill="1" applyBorder="1" applyAlignment="1">
      <alignment horizontal="right" vertical="center" wrapText="1"/>
    </xf>
    <xf numFmtId="1" fontId="5" fillId="5" borderId="1" xfId="0" applyNumberFormat="1" applyFont="1" applyFill="1" applyBorder="1" applyAlignment="1">
      <alignment wrapText="1"/>
    </xf>
    <xf numFmtId="1" fontId="5" fillId="5" borderId="4" xfId="0" applyNumberFormat="1" applyFont="1" applyFill="1" applyBorder="1"/>
    <xf numFmtId="1" fontId="0" fillId="0" borderId="0" xfId="0" applyNumberFormat="1"/>
    <xf numFmtId="0" fontId="1" fillId="5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3" fillId="5" borderId="0" xfId="1" applyFill="1" applyAlignment="1">
      <alignment horizontal="center"/>
    </xf>
    <xf numFmtId="0" fontId="0" fillId="5" borderId="0" xfId="0" applyFill="1" applyAlignment="1">
      <alignment horizontal="left" vertical="top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0" fillId="0" borderId="0" xfId="0" applyNumberFormat="1"/>
    <xf numFmtId="166" fontId="0" fillId="0" borderId="0" xfId="0" applyNumberFormat="1" applyAlignment="1">
      <alignment wrapText="1"/>
    </xf>
    <xf numFmtId="2" fontId="17" fillId="0" borderId="0" xfId="0" applyNumberFormat="1" applyFont="1"/>
    <xf numFmtId="2" fontId="17" fillId="0" borderId="0" xfId="0" applyNumberFormat="1" applyFont="1" applyAlignment="1">
      <alignment wrapText="1"/>
    </xf>
    <xf numFmtId="1" fontId="17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0" fontId="2" fillId="6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1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right" vertical="center" wrapText="1"/>
    </xf>
    <xf numFmtId="1" fontId="1" fillId="3" borderId="1" xfId="0" applyNumberFormat="1" applyFont="1" applyFill="1" applyBorder="1" applyAlignment="1">
      <alignment horizontal="right" vertical="center"/>
    </xf>
    <xf numFmtId="2" fontId="7" fillId="3" borderId="1" xfId="0" applyNumberFormat="1" applyFont="1" applyFill="1" applyBorder="1"/>
    <xf numFmtId="0" fontId="1" fillId="3" borderId="1" xfId="0" applyFont="1" applyFill="1" applyBorder="1" applyAlignment="1">
      <alignment horizontal="right" vertical="center"/>
    </xf>
    <xf numFmtId="0" fontId="7" fillId="3" borderId="1" xfId="0" applyFont="1" applyFill="1" applyBorder="1"/>
    <xf numFmtId="2" fontId="7" fillId="6" borderId="1" xfId="0" applyNumberFormat="1" applyFont="1" applyFill="1" applyBorder="1"/>
    <xf numFmtId="1" fontId="7" fillId="6" borderId="1" xfId="0" applyNumberFormat="1" applyFont="1" applyFill="1" applyBorder="1"/>
    <xf numFmtId="166" fontId="7" fillId="6" borderId="1" xfId="0" applyNumberFormat="1" applyFont="1" applyFill="1" applyBorder="1"/>
    <xf numFmtId="1" fontId="1" fillId="6" borderId="1" xfId="0" applyNumberFormat="1" applyFont="1" applyFill="1" applyBorder="1" applyAlignment="1">
      <alignment horizontal="right" vertical="center"/>
    </xf>
    <xf numFmtId="1" fontId="7" fillId="6" borderId="1" xfId="0" applyNumberFormat="1" applyFont="1" applyFill="1" applyBorder="1" applyAlignment="1">
      <alignment wrapText="1"/>
    </xf>
    <xf numFmtId="0" fontId="7" fillId="6" borderId="1" xfId="0" applyFont="1" applyFill="1" applyBorder="1"/>
    <xf numFmtId="0" fontId="1" fillId="6" borderId="1" xfId="0" applyFont="1" applyFill="1" applyBorder="1" applyAlignment="1">
      <alignment horizontal="right" vertical="center"/>
    </xf>
    <xf numFmtId="1" fontId="7" fillId="3" borderId="1" xfId="0" applyNumberFormat="1" applyFont="1" applyFill="1" applyBorder="1"/>
    <xf numFmtId="0" fontId="7" fillId="3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2" fontId="0" fillId="3" borderId="0" xfId="0" applyNumberFormat="1" applyFill="1" applyAlignment="1">
      <alignment horizontal="center"/>
    </xf>
    <xf numFmtId="1" fontId="7" fillId="0" borderId="0" xfId="0" applyNumberFormat="1" applyFont="1"/>
    <xf numFmtId="0" fontId="7" fillId="0" borderId="0" xfId="0" applyFont="1"/>
    <xf numFmtId="166" fontId="7" fillId="0" borderId="0" xfId="0" applyNumberFormat="1" applyFont="1"/>
    <xf numFmtId="2" fontId="7" fillId="10" borderId="1" xfId="0" applyNumberFormat="1" applyFont="1" applyFill="1" applyBorder="1" applyAlignment="1">
      <alignment wrapText="1"/>
    </xf>
    <xf numFmtId="2" fontId="7" fillId="10" borderId="1" xfId="0" applyNumberFormat="1" applyFont="1" applyFill="1" applyBorder="1" applyAlignment="1">
      <alignment horizontal="center" wrapText="1"/>
    </xf>
    <xf numFmtId="0" fontId="7" fillId="10" borderId="1" xfId="0" applyFont="1" applyFill="1" applyBorder="1" applyAlignment="1">
      <alignment wrapText="1"/>
    </xf>
    <xf numFmtId="0" fontId="1" fillId="10" borderId="1" xfId="0" applyFont="1" applyFill="1" applyBorder="1" applyAlignment="1">
      <alignment horizontal="right" vertical="center" wrapText="1"/>
    </xf>
    <xf numFmtId="0" fontId="1" fillId="10" borderId="1" xfId="0" applyFont="1" applyFill="1" applyBorder="1" applyAlignment="1">
      <alignment horizontal="right" vertical="center"/>
    </xf>
    <xf numFmtId="1" fontId="7" fillId="10" borderId="1" xfId="0" applyNumberFormat="1" applyFont="1" applyFill="1" applyBorder="1"/>
    <xf numFmtId="166" fontId="7" fillId="10" borderId="1" xfId="0" applyNumberFormat="1" applyFont="1" applyFill="1" applyBorder="1"/>
    <xf numFmtId="2" fontId="7" fillId="10" borderId="1" xfId="0" applyNumberFormat="1" applyFont="1" applyFill="1" applyBorder="1"/>
    <xf numFmtId="0" fontId="7" fillId="10" borderId="1" xfId="0" applyFont="1" applyFill="1" applyBorder="1"/>
    <xf numFmtId="0" fontId="0" fillId="3" borderId="1" xfId="0" applyFill="1" applyBorder="1" applyAlignment="1">
      <alignment horizontal="center" wrapText="1"/>
    </xf>
    <xf numFmtId="0" fontId="0" fillId="10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9" borderId="1" xfId="0" applyFill="1" applyBorder="1" applyAlignment="1">
      <alignment vertical="top"/>
    </xf>
    <xf numFmtId="9" fontId="0" fillId="9" borderId="1" xfId="3" applyFont="1" applyFill="1" applyBorder="1" applyAlignment="1">
      <alignment horizontal="center"/>
    </xf>
    <xf numFmtId="165" fontId="0" fillId="3" borderId="0" xfId="0" applyNumberFormat="1" applyFill="1"/>
    <xf numFmtId="2" fontId="0" fillId="10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0" fontId="0" fillId="5" borderId="0" xfId="0" applyFill="1"/>
    <xf numFmtId="0" fontId="5" fillId="3" borderId="0" xfId="0" applyFont="1" applyFill="1" applyAlignment="1">
      <alignment horizontal="left" vertical="top" wrapText="1"/>
    </xf>
    <xf numFmtId="169" fontId="0" fillId="0" borderId="0" xfId="0" applyNumberFormat="1"/>
    <xf numFmtId="167" fontId="0" fillId="0" borderId="0" xfId="3" applyNumberFormat="1" applyFont="1"/>
    <xf numFmtId="2" fontId="5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1" fontId="7" fillId="0" borderId="1" xfId="0" applyNumberFormat="1" applyFont="1" applyFill="1" applyBorder="1"/>
    <xf numFmtId="0" fontId="1" fillId="0" borderId="1" xfId="0" applyFont="1" applyFill="1" applyBorder="1" applyAlignment="1">
      <alignment horizontal="right" vertical="center" wrapText="1"/>
    </xf>
    <xf numFmtId="1" fontId="1" fillId="0" borderId="1" xfId="0" applyNumberFormat="1" applyFont="1" applyFill="1" applyBorder="1" applyAlignment="1">
      <alignment horizontal="right" vertical="center"/>
    </xf>
    <xf numFmtId="43" fontId="7" fillId="0" borderId="1" xfId="2" applyFont="1" applyFill="1" applyBorder="1"/>
    <xf numFmtId="44" fontId="7" fillId="0" borderId="1" xfId="2" applyNumberFormat="1" applyFont="1" applyFill="1" applyBorder="1"/>
    <xf numFmtId="168" fontId="7" fillId="0" borderId="1" xfId="2" applyNumberFormat="1" applyFont="1" applyFill="1" applyBorder="1"/>
    <xf numFmtId="0" fontId="7" fillId="0" borderId="1" xfId="0" applyFont="1" applyFill="1" applyBorder="1" applyAlignment="1">
      <alignment horizontal="right"/>
    </xf>
    <xf numFmtId="2" fontId="7" fillId="0" borderId="1" xfId="0" applyNumberFormat="1" applyFont="1" applyFill="1" applyBorder="1"/>
    <xf numFmtId="0" fontId="2" fillId="0" borderId="1" xfId="0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wrapText="1"/>
    </xf>
    <xf numFmtId="166" fontId="7" fillId="0" borderId="1" xfId="0" applyNumberFormat="1" applyFont="1" applyFill="1" applyBorder="1"/>
    <xf numFmtId="0" fontId="2" fillId="0" borderId="1" xfId="0" applyFont="1" applyFill="1" applyBorder="1" applyAlignment="1">
      <alignment horizontal="right" vertical="center"/>
    </xf>
    <xf numFmtId="0" fontId="7" fillId="0" borderId="16" xfId="0" applyFont="1" applyFill="1" applyBorder="1"/>
    <xf numFmtId="1" fontId="7" fillId="0" borderId="16" xfId="0" applyNumberFormat="1" applyFont="1" applyFill="1" applyBorder="1"/>
    <xf numFmtId="3" fontId="8" fillId="0" borderId="0" xfId="0" applyNumberFormat="1" applyFont="1" applyFill="1"/>
    <xf numFmtId="0" fontId="5" fillId="3" borderId="1" xfId="0" applyFont="1" applyFill="1" applyBorder="1" applyAlignment="1">
      <alignment horizontal="right" wrapText="1"/>
    </xf>
    <xf numFmtId="2" fontId="5" fillId="5" borderId="1" xfId="0" applyNumberFormat="1" applyFont="1" applyFill="1" applyBorder="1" applyAlignment="1">
      <alignment wrapText="1"/>
    </xf>
    <xf numFmtId="0" fontId="5" fillId="7" borderId="11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2" fontId="1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1" fontId="17" fillId="0" borderId="1" xfId="0" applyNumberFormat="1" applyFont="1" applyBorder="1" applyAlignment="1">
      <alignment wrapText="1"/>
    </xf>
    <xf numFmtId="2" fontId="17" fillId="0" borderId="1" xfId="0" applyNumberFormat="1" applyFont="1" applyBorder="1"/>
    <xf numFmtId="1" fontId="17" fillId="0" borderId="1" xfId="0" applyNumberFormat="1" applyFont="1" applyBorder="1"/>
    <xf numFmtId="0" fontId="0" fillId="0" borderId="17" xfId="0" applyBorder="1" applyAlignment="1">
      <alignment vertical="center" wrapText="1"/>
    </xf>
    <xf numFmtId="2" fontId="17" fillId="0" borderId="0" xfId="0" applyNumberFormat="1" applyFont="1" applyBorder="1"/>
    <xf numFmtId="0" fontId="0" fillId="0" borderId="0" xfId="0" applyBorder="1"/>
    <xf numFmtId="9" fontId="17" fillId="0" borderId="0" xfId="3" applyFont="1" applyBorder="1"/>
    <xf numFmtId="0" fontId="0" fillId="0" borderId="3" xfId="0" applyBorder="1"/>
    <xf numFmtId="168" fontId="0" fillId="0" borderId="0" xfId="2" applyNumberFormat="1" applyFont="1"/>
    <xf numFmtId="9" fontId="0" fillId="0" borderId="0" xfId="3" applyFont="1"/>
    <xf numFmtId="167" fontId="0" fillId="0" borderId="3" xfId="3" applyNumberFormat="1" applyFont="1" applyBorder="1"/>
    <xf numFmtId="0" fontId="0" fillId="0" borderId="1" xfId="0" applyBorder="1" applyAlignment="1">
      <alignment wrapText="1"/>
    </xf>
    <xf numFmtId="166" fontId="0" fillId="0" borderId="1" xfId="0" applyNumberFormat="1" applyBorder="1"/>
    <xf numFmtId="0" fontId="0" fillId="11" borderId="0" xfId="0" applyFill="1"/>
    <xf numFmtId="168" fontId="0" fillId="0" borderId="0" xfId="2" applyNumberFormat="1" applyFont="1" applyAlignment="1">
      <alignment wrapText="1"/>
    </xf>
    <xf numFmtId="164" fontId="0" fillId="0" borderId="1" xfId="0" applyNumberFormat="1" applyBorder="1"/>
    <xf numFmtId="0" fontId="0" fillId="11" borderId="0" xfId="0" applyFill="1" applyAlignment="1">
      <alignment horizontal="right"/>
    </xf>
    <xf numFmtId="44" fontId="0" fillId="0" borderId="0" xfId="0" applyNumberFormat="1"/>
    <xf numFmtId="44" fontId="0" fillId="0" borderId="0" xfId="4" applyFont="1"/>
    <xf numFmtId="165" fontId="0" fillId="0" borderId="1" xfId="0" applyNumberFormat="1" applyBorder="1"/>
    <xf numFmtId="0" fontId="0" fillId="12" borderId="0" xfId="0" applyFill="1"/>
    <xf numFmtId="44" fontId="0" fillId="12" borderId="0" xfId="0" applyNumberFormat="1" applyFill="1"/>
    <xf numFmtId="44" fontId="0" fillId="12" borderId="0" xfId="4" applyFont="1" applyFill="1"/>
    <xf numFmtId="43" fontId="0" fillId="12" borderId="0" xfId="0" applyNumberFormat="1" applyFill="1"/>
    <xf numFmtId="0" fontId="20" fillId="13" borderId="0" xfId="0" applyFont="1" applyFill="1"/>
    <xf numFmtId="44" fontId="20" fillId="13" borderId="0" xfId="0" applyNumberFormat="1" applyFont="1" applyFill="1"/>
    <xf numFmtId="44" fontId="20" fillId="13" borderId="0" xfId="4" applyFont="1" applyFill="1"/>
    <xf numFmtId="43" fontId="20" fillId="13" borderId="0" xfId="0" applyNumberFormat="1" applyFont="1" applyFill="1"/>
    <xf numFmtId="0" fontId="0" fillId="0" borderId="0" xfId="4" applyNumberFormat="1" applyFont="1"/>
    <xf numFmtId="2" fontId="0" fillId="0" borderId="0" xfId="4" applyNumberFormat="1" applyFont="1"/>
    <xf numFmtId="44" fontId="0" fillId="5" borderId="0" xfId="4" applyFont="1" applyFill="1"/>
    <xf numFmtId="43" fontId="0" fillId="5" borderId="0" xfId="0" applyNumberFormat="1" applyFill="1"/>
    <xf numFmtId="170" fontId="0" fillId="5" borderId="1" xfId="0" applyNumberFormat="1" applyFill="1" applyBorder="1"/>
    <xf numFmtId="171" fontId="0" fillId="5" borderId="1" xfId="4" applyNumberFormat="1" applyFont="1" applyFill="1" applyBorder="1"/>
    <xf numFmtId="10" fontId="0" fillId="0" borderId="0" xfId="3" applyNumberFormat="1" applyFont="1"/>
    <xf numFmtId="10" fontId="0" fillId="5" borderId="0" xfId="3" applyNumberFormat="1" applyFont="1" applyFill="1"/>
    <xf numFmtId="2" fontId="0" fillId="5" borderId="1" xfId="0" applyNumberFormat="1" applyFill="1" applyBorder="1"/>
    <xf numFmtId="0" fontId="0" fillId="5" borderId="1" xfId="0" applyFill="1" applyBorder="1"/>
    <xf numFmtId="44" fontId="7" fillId="0" borderId="0" xfId="0" applyNumberFormat="1" applyFont="1"/>
    <xf numFmtId="43" fontId="7" fillId="0" borderId="0" xfId="0" applyNumberFormat="1" applyFont="1"/>
    <xf numFmtId="2" fontId="0" fillId="0" borderId="11" xfId="0" applyNumberFormat="1" applyBorder="1"/>
    <xf numFmtId="0" fontId="19" fillId="5" borderId="18" xfId="0" applyFont="1" applyFill="1" applyBorder="1"/>
    <xf numFmtId="0" fontId="19" fillId="5" borderId="8" xfId="0" applyFont="1" applyFill="1" applyBorder="1"/>
    <xf numFmtId="0" fontId="19" fillId="0" borderId="18" xfId="0" applyFont="1" applyBorder="1" applyAlignment="1">
      <alignment horizontal="right"/>
    </xf>
    <xf numFmtId="0" fontId="19" fillId="0" borderId="18" xfId="0" applyFont="1" applyBorder="1"/>
    <xf numFmtId="44" fontId="19" fillId="0" borderId="22" xfId="0" applyNumberFormat="1" applyFont="1" applyBorder="1"/>
    <xf numFmtId="0" fontId="19" fillId="0" borderId="8" xfId="0" applyFont="1" applyBorder="1"/>
    <xf numFmtId="0" fontId="19" fillId="0" borderId="19" xfId="0" applyFont="1" applyBorder="1"/>
    <xf numFmtId="44" fontId="19" fillId="0" borderId="0" xfId="0" applyNumberFormat="1" applyFont="1" applyBorder="1"/>
    <xf numFmtId="0" fontId="19" fillId="0" borderId="20" xfId="0" applyFont="1" applyBorder="1"/>
    <xf numFmtId="0" fontId="19" fillId="0" borderId="21" xfId="0" applyFont="1" applyBorder="1"/>
    <xf numFmtId="44" fontId="19" fillId="0" borderId="23" xfId="0" applyNumberFormat="1" applyFont="1" applyBorder="1"/>
    <xf numFmtId="0" fontId="19" fillId="0" borderId="9" xfId="0" applyFont="1" applyBorder="1"/>
    <xf numFmtId="9" fontId="0" fillId="6" borderId="24" xfId="3" applyFont="1" applyFill="1" applyBorder="1"/>
    <xf numFmtId="0" fontId="0" fillId="6" borderId="25" xfId="0" applyFill="1" applyBorder="1"/>
    <xf numFmtId="0" fontId="0" fillId="6" borderId="26" xfId="0" applyFill="1" applyBorder="1"/>
    <xf numFmtId="0" fontId="0" fillId="0" borderId="27" xfId="0" applyBorder="1"/>
    <xf numFmtId="0" fontId="0" fillId="0" borderId="28" xfId="0" applyBorder="1"/>
    <xf numFmtId="0" fontId="0" fillId="5" borderId="28" xfId="0" applyFill="1" applyBorder="1"/>
    <xf numFmtId="0" fontId="0" fillId="0" borderId="29" xfId="0" applyBorder="1"/>
    <xf numFmtId="0" fontId="0" fillId="0" borderId="30" xfId="0" applyBorder="1"/>
    <xf numFmtId="44" fontId="0" fillId="0" borderId="30" xfId="4" applyFont="1" applyBorder="1"/>
    <xf numFmtId="0" fontId="0" fillId="0" borderId="31" xfId="0" applyBorder="1"/>
    <xf numFmtId="0" fontId="0" fillId="6" borderId="24" xfId="0" applyFill="1" applyBorder="1"/>
    <xf numFmtId="0" fontId="0" fillId="0" borderId="27" xfId="0" applyBorder="1" applyAlignment="1">
      <alignment wrapText="1"/>
    </xf>
    <xf numFmtId="166" fontId="0" fillId="0" borderId="27" xfId="0" applyNumberFormat="1" applyBorder="1"/>
    <xf numFmtId="165" fontId="0" fillId="3" borderId="1" xfId="0" applyNumberFormat="1" applyFill="1" applyBorder="1"/>
    <xf numFmtId="0" fontId="0" fillId="3" borderId="28" xfId="0" applyFill="1" applyBorder="1"/>
    <xf numFmtId="0" fontId="0" fillId="10" borderId="0" xfId="0" applyFill="1"/>
    <xf numFmtId="44" fontId="0" fillId="10" borderId="0" xfId="4" applyFont="1" applyFill="1"/>
    <xf numFmtId="1" fontId="17" fillId="5" borderId="1" xfId="0" applyNumberFormat="1" applyFont="1" applyFill="1" applyBorder="1"/>
    <xf numFmtId="2" fontId="0" fillId="0" borderId="27" xfId="0" applyNumberFormat="1" applyBorder="1"/>
    <xf numFmtId="165" fontId="0" fillId="0" borderId="0" xfId="3" applyNumberFormat="1" applyFont="1"/>
    <xf numFmtId="44" fontId="0" fillId="3" borderId="1" xfId="4" applyFont="1" applyFill="1" applyBorder="1"/>
    <xf numFmtId="172" fontId="19" fillId="5" borderId="19" xfId="0" applyNumberFormat="1" applyFont="1" applyFill="1" applyBorder="1"/>
    <xf numFmtId="172" fontId="19" fillId="5" borderId="20" xfId="0" applyNumberFormat="1" applyFont="1" applyFill="1" applyBorder="1"/>
    <xf numFmtId="172" fontId="19" fillId="5" borderId="21" xfId="0" applyNumberFormat="1" applyFont="1" applyFill="1" applyBorder="1"/>
    <xf numFmtId="172" fontId="19" fillId="5" borderId="9" xfId="4" applyNumberFormat="1" applyFont="1" applyFill="1" applyBorder="1"/>
    <xf numFmtId="172" fontId="0" fillId="5" borderId="0" xfId="0" applyNumberFormat="1" applyFill="1"/>
    <xf numFmtId="172" fontId="19" fillId="5" borderId="8" xfId="0" applyNumberFormat="1" applyFont="1" applyFill="1" applyBorder="1"/>
    <xf numFmtId="1" fontId="21" fillId="0" borderId="1" xfId="0" applyNumberFormat="1" applyFont="1" applyBorder="1" applyAlignment="1">
      <alignment wrapText="1"/>
    </xf>
    <xf numFmtId="2" fontId="17" fillId="5" borderId="1" xfId="0" applyNumberFormat="1" applyFont="1" applyFill="1" applyBorder="1" applyAlignment="1">
      <alignment wrapText="1"/>
    </xf>
    <xf numFmtId="9" fontId="17" fillId="0" borderId="3" xfId="3" applyNumberFormat="1" applyFont="1" applyBorder="1"/>
    <xf numFmtId="1" fontId="0" fillId="0" borderId="0" xfId="3" applyNumberFormat="1" applyFont="1"/>
    <xf numFmtId="168" fontId="0" fillId="0" borderId="0" xfId="0" applyNumberFormat="1"/>
    <xf numFmtId="165" fontId="0" fillId="0" borderId="1" xfId="3" applyNumberFormat="1" applyFont="1" applyBorder="1"/>
    <xf numFmtId="166" fontId="17" fillId="0" borderId="1" xfId="0" applyNumberFormat="1" applyFont="1" applyBorder="1" applyAlignment="1">
      <alignment wrapText="1"/>
    </xf>
    <xf numFmtId="2" fontId="17" fillId="3" borderId="0" xfId="0" applyNumberFormat="1" applyFont="1" applyFill="1"/>
    <xf numFmtId="2" fontId="0" fillId="5" borderId="27" xfId="0" applyNumberFormat="1" applyFill="1" applyBorder="1"/>
    <xf numFmtId="166" fontId="21" fillId="0" borderId="1" xfId="0" applyNumberFormat="1" applyFont="1" applyBorder="1" applyAlignment="1">
      <alignment wrapText="1"/>
    </xf>
    <xf numFmtId="166" fontId="21" fillId="0" borderId="1" xfId="2" applyNumberFormat="1" applyFont="1" applyBorder="1" applyAlignment="1">
      <alignment wrapText="1"/>
    </xf>
    <xf numFmtId="167" fontId="17" fillId="0" borderId="3" xfId="3" applyNumberFormat="1" applyFont="1" applyBorder="1"/>
    <xf numFmtId="9" fontId="17" fillId="0" borderId="0" xfId="3" applyNumberFormat="1" applyFont="1" applyBorder="1"/>
    <xf numFmtId="0" fontId="0" fillId="3" borderId="0" xfId="0" applyFill="1" applyBorder="1"/>
    <xf numFmtId="172" fontId="0" fillId="3" borderId="0" xfId="0" applyNumberFormat="1" applyFill="1" applyBorder="1"/>
    <xf numFmtId="43" fontId="0" fillId="0" borderId="0" xfId="0" applyNumberFormat="1"/>
    <xf numFmtId="0" fontId="0" fillId="3" borderId="0" xfId="0" applyFill="1" applyBorder="1" applyAlignment="1">
      <alignment horizontal="left" vertical="top"/>
    </xf>
    <xf numFmtId="172" fontId="0" fillId="3" borderId="0" xfId="4" applyNumberFormat="1" applyFont="1" applyFill="1" applyBorder="1" applyAlignment="1">
      <alignment horizontal="left" vertical="top"/>
    </xf>
    <xf numFmtId="166" fontId="17" fillId="5" borderId="1" xfId="0" applyNumberFormat="1" applyFont="1" applyFill="1" applyBorder="1"/>
    <xf numFmtId="166" fontId="17" fillId="0" borderId="1" xfId="0" applyNumberFormat="1" applyFont="1" applyBorder="1"/>
    <xf numFmtId="166" fontId="0" fillId="0" borderId="0" xfId="0" applyNumberFormat="1"/>
    <xf numFmtId="0" fontId="5" fillId="7" borderId="10" xfId="0" applyFont="1" applyFill="1" applyBorder="1" applyAlignment="1">
      <alignment horizontal="center" wrapText="1"/>
    </xf>
    <xf numFmtId="0" fontId="5" fillId="7" borderId="12" xfId="0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2" fontId="5" fillId="3" borderId="2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center"/>
    </xf>
    <xf numFmtId="1" fontId="7" fillId="0" borderId="0" xfId="0" applyNumberFormat="1" applyFont="1" applyFill="1" applyBorder="1"/>
    <xf numFmtId="0" fontId="27" fillId="0" borderId="0" xfId="0" applyFont="1" applyAlignment="1">
      <alignment horizontal="right" vertical="center"/>
    </xf>
    <xf numFmtId="0" fontId="0" fillId="0" borderId="0" xfId="0" applyAlignment="1">
      <alignment vertical="top" wrapText="1"/>
    </xf>
    <xf numFmtId="9" fontId="7" fillId="0" borderId="1" xfId="0" applyNumberFormat="1" applyFont="1" applyFill="1" applyBorder="1"/>
    <xf numFmtId="164" fontId="7" fillId="0" borderId="1" xfId="0" applyNumberFormat="1" applyFont="1" applyFill="1" applyBorder="1"/>
    <xf numFmtId="2" fontId="7" fillId="5" borderId="1" xfId="0" applyNumberFormat="1" applyFont="1" applyFill="1" applyBorder="1"/>
    <xf numFmtId="0" fontId="21" fillId="0" borderId="1" xfId="0" applyFont="1" applyFill="1" applyBorder="1" applyAlignment="1">
      <alignment vertical="top"/>
    </xf>
    <xf numFmtId="1" fontId="30" fillId="15" borderId="1" xfId="0" applyNumberFormat="1" applyFont="1" applyFill="1" applyBorder="1" applyAlignment="1">
      <alignment horizontal="right" vertical="top" wrapText="1"/>
    </xf>
    <xf numFmtId="1" fontId="21" fillId="8" borderId="1" xfId="0" applyNumberFormat="1" applyFont="1" applyFill="1" applyBorder="1" applyAlignment="1">
      <alignment vertical="top"/>
    </xf>
    <xf numFmtId="2" fontId="21" fillId="18" borderId="1" xfId="0" applyNumberFormat="1" applyFont="1" applyFill="1" applyBorder="1" applyAlignment="1">
      <alignment vertical="top" wrapText="1"/>
    </xf>
    <xf numFmtId="1" fontId="21" fillId="3" borderId="1" xfId="0" applyNumberFormat="1" applyFont="1" applyFill="1" applyBorder="1" applyAlignment="1">
      <alignment vertical="top" wrapText="1"/>
    </xf>
    <xf numFmtId="1" fontId="21" fillId="16" borderId="1" xfId="0" applyNumberFormat="1" applyFont="1" applyFill="1" applyBorder="1" applyAlignment="1">
      <alignment vertical="top" wrapText="1"/>
    </xf>
    <xf numFmtId="1" fontId="21" fillId="17" borderId="1" xfId="0" applyNumberFormat="1" applyFont="1" applyFill="1" applyBorder="1" applyAlignment="1">
      <alignment vertical="top" wrapText="1"/>
    </xf>
    <xf numFmtId="1" fontId="21" fillId="3" borderId="0" xfId="0" applyNumberFormat="1" applyFont="1" applyFill="1" applyBorder="1" applyAlignment="1">
      <alignment vertical="top" wrapText="1"/>
    </xf>
    <xf numFmtId="1" fontId="21" fillId="14" borderId="0" xfId="0" applyNumberFormat="1" applyFont="1" applyFill="1" applyBorder="1" applyAlignment="1">
      <alignment vertical="top" wrapText="1"/>
    </xf>
    <xf numFmtId="0" fontId="21" fillId="14" borderId="0" xfId="0" applyFont="1" applyFill="1" applyAlignment="1">
      <alignment vertical="top"/>
    </xf>
    <xf numFmtId="166" fontId="21" fillId="11" borderId="0" xfId="0" applyNumberFormat="1" applyFont="1" applyFill="1" applyAlignment="1">
      <alignment vertical="top"/>
    </xf>
    <xf numFmtId="0" fontId="21" fillId="11" borderId="0" xfId="0" applyFont="1" applyFill="1" applyAlignment="1">
      <alignment vertical="top"/>
    </xf>
    <xf numFmtId="0" fontId="21" fillId="0" borderId="0" xfId="0" applyFont="1" applyAlignment="1">
      <alignment vertical="top"/>
    </xf>
    <xf numFmtId="166" fontId="21" fillId="0" borderId="0" xfId="0" applyNumberFormat="1" applyFont="1" applyAlignment="1">
      <alignment vertical="top"/>
    </xf>
    <xf numFmtId="0" fontId="21" fillId="0" borderId="1" xfId="0" applyFont="1" applyFill="1" applyBorder="1" applyAlignment="1">
      <alignment vertical="top" wrapText="1"/>
    </xf>
    <xf numFmtId="1" fontId="30" fillId="3" borderId="1" xfId="0" applyNumberFormat="1" applyFont="1" applyFill="1" applyBorder="1" applyAlignment="1">
      <alignment horizontal="right" vertical="top" wrapText="1"/>
    </xf>
    <xf numFmtId="1" fontId="21" fillId="0" borderId="1" xfId="0" applyNumberFormat="1" applyFont="1" applyFill="1" applyBorder="1" applyAlignment="1">
      <alignment vertical="top" wrapText="1"/>
    </xf>
    <xf numFmtId="2" fontId="21" fillId="3" borderId="1" xfId="0" applyNumberFormat="1" applyFont="1" applyFill="1" applyBorder="1" applyAlignment="1">
      <alignment vertical="top" wrapText="1"/>
    </xf>
    <xf numFmtId="0" fontId="21" fillId="0" borderId="0" xfId="0" applyFont="1" applyAlignment="1">
      <alignment vertical="top" wrapText="1"/>
    </xf>
    <xf numFmtId="166" fontId="21" fillId="8" borderId="0" xfId="0" applyNumberFormat="1" applyFont="1" applyFill="1" applyAlignment="1">
      <alignment vertical="top" wrapText="1"/>
    </xf>
    <xf numFmtId="166" fontId="21" fillId="11" borderId="0" xfId="0" applyNumberFormat="1" applyFont="1" applyFill="1" applyAlignment="1">
      <alignment vertical="top" wrapText="1"/>
    </xf>
    <xf numFmtId="0" fontId="21" fillId="15" borderId="0" xfId="0" applyFont="1" applyFill="1" applyAlignment="1">
      <alignment vertical="top" wrapText="1"/>
    </xf>
    <xf numFmtId="0" fontId="21" fillId="16" borderId="0" xfId="0" applyFont="1" applyFill="1" applyAlignment="1">
      <alignment vertical="top" wrapText="1"/>
    </xf>
    <xf numFmtId="0" fontId="21" fillId="17" borderId="0" xfId="0" applyFont="1" applyFill="1" applyAlignment="1">
      <alignment vertical="top" wrapText="1"/>
    </xf>
    <xf numFmtId="0" fontId="21" fillId="18" borderId="0" xfId="0" applyFont="1" applyFill="1" applyAlignment="1">
      <alignment vertical="top" wrapText="1"/>
    </xf>
    <xf numFmtId="2" fontId="31" fillId="0" borderId="1" xfId="0" applyNumberFormat="1" applyFont="1" applyFill="1" applyBorder="1"/>
    <xf numFmtId="0" fontId="32" fillId="5" borderId="1" xfId="0" applyFont="1" applyFill="1" applyBorder="1" applyAlignment="1">
      <alignment horizontal="right" vertical="top" wrapText="1"/>
    </xf>
    <xf numFmtId="1" fontId="21" fillId="0" borderId="1" xfId="0" applyNumberFormat="1" applyFont="1" applyFill="1" applyBorder="1" applyAlignment="1">
      <alignment vertical="top"/>
    </xf>
    <xf numFmtId="1" fontId="30" fillId="3" borderId="1" xfId="0" applyNumberFormat="1" applyFont="1" applyFill="1" applyBorder="1" applyAlignment="1">
      <alignment horizontal="right" vertical="top"/>
    </xf>
    <xf numFmtId="166" fontId="21" fillId="3" borderId="0" xfId="0" applyNumberFormat="1" applyFont="1" applyFill="1" applyBorder="1" applyAlignment="1">
      <alignment vertical="top" wrapText="1"/>
    </xf>
    <xf numFmtId="166" fontId="21" fillId="3" borderId="0" xfId="0" applyNumberFormat="1" applyFont="1" applyFill="1" applyAlignment="1">
      <alignment vertical="top"/>
    </xf>
    <xf numFmtId="0" fontId="32" fillId="5" borderId="1" xfId="0" applyFont="1" applyFill="1" applyBorder="1" applyAlignment="1">
      <alignment horizontal="right" vertical="top"/>
    </xf>
    <xf numFmtId="0" fontId="21" fillId="5" borderId="0" xfId="0" applyFont="1" applyFill="1" applyAlignment="1">
      <alignment vertical="top"/>
    </xf>
    <xf numFmtId="0" fontId="32" fillId="3" borderId="1" xfId="0" applyFont="1" applyFill="1" applyBorder="1" applyAlignment="1">
      <alignment horizontal="right" vertical="top"/>
    </xf>
    <xf numFmtId="1" fontId="30" fillId="6" borderId="1" xfId="0" applyNumberFormat="1" applyFont="1" applyFill="1" applyBorder="1" applyAlignment="1">
      <alignment horizontal="right" vertical="top"/>
    </xf>
    <xf numFmtId="1" fontId="21" fillId="6" borderId="1" xfId="0" applyNumberFormat="1" applyFont="1" applyFill="1" applyBorder="1" applyAlignment="1">
      <alignment vertical="top" wrapText="1"/>
    </xf>
    <xf numFmtId="1" fontId="21" fillId="6" borderId="0" xfId="0" applyNumberFormat="1" applyFont="1" applyFill="1" applyBorder="1" applyAlignment="1">
      <alignment vertical="top" wrapText="1"/>
    </xf>
    <xf numFmtId="0" fontId="32" fillId="0" borderId="1" xfId="0" applyFont="1" applyFill="1" applyBorder="1" applyAlignment="1">
      <alignment horizontal="right" vertical="top"/>
    </xf>
    <xf numFmtId="2" fontId="21" fillId="6" borderId="0" xfId="0" applyNumberFormat="1" applyFont="1" applyFill="1" applyBorder="1" applyAlignment="1">
      <alignment vertical="top" wrapText="1"/>
    </xf>
    <xf numFmtId="1" fontId="21" fillId="5" borderId="1" xfId="0" applyNumberFormat="1" applyFont="1" applyFill="1" applyBorder="1" applyAlignment="1">
      <alignment vertical="top"/>
    </xf>
    <xf numFmtId="1" fontId="30" fillId="5" borderId="1" xfId="0" applyNumberFormat="1" applyFont="1" applyFill="1" applyBorder="1" applyAlignment="1">
      <alignment horizontal="right" vertical="top"/>
    </xf>
    <xf numFmtId="1" fontId="21" fillId="5" borderId="1" xfId="0" applyNumberFormat="1" applyFont="1" applyFill="1" applyBorder="1" applyAlignment="1">
      <alignment vertical="top" wrapText="1"/>
    </xf>
    <xf numFmtId="1" fontId="21" fillId="5" borderId="0" xfId="0" applyNumberFormat="1" applyFont="1" applyFill="1" applyBorder="1" applyAlignment="1">
      <alignment vertical="top" wrapText="1"/>
    </xf>
    <xf numFmtId="0" fontId="21" fillId="7" borderId="0" xfId="0" applyFont="1" applyFill="1" applyAlignment="1">
      <alignment vertical="top"/>
    </xf>
    <xf numFmtId="49" fontId="21" fillId="0" borderId="0" xfId="0" applyNumberFormat="1" applyFont="1" applyAlignment="1">
      <alignment vertical="top"/>
    </xf>
    <xf numFmtId="166" fontId="21" fillId="0" borderId="0" xfId="0" applyNumberFormat="1" applyFont="1" applyAlignment="1">
      <alignment vertical="top" wrapText="1"/>
    </xf>
    <xf numFmtId="0" fontId="33" fillId="2" borderId="32" xfId="0" applyFont="1" applyFill="1" applyBorder="1" applyAlignment="1">
      <alignment vertical="center" wrapText="1"/>
    </xf>
    <xf numFmtId="0" fontId="33" fillId="2" borderId="32" xfId="0" applyFont="1" applyFill="1" applyBorder="1" applyAlignment="1">
      <alignment horizontal="center" vertical="center" wrapText="1"/>
    </xf>
    <xf numFmtId="0" fontId="21" fillId="24" borderId="0" xfId="0" applyFont="1" applyFill="1" applyAlignment="1">
      <alignment vertical="top"/>
    </xf>
    <xf numFmtId="166" fontId="21" fillId="24" borderId="0" xfId="0" applyNumberFormat="1" applyFont="1" applyFill="1" applyAlignment="1">
      <alignment vertical="top"/>
    </xf>
    <xf numFmtId="0" fontId="33" fillId="2" borderId="33" xfId="0" applyFont="1" applyFill="1" applyBorder="1" applyAlignment="1">
      <alignment horizontal="center" vertical="center"/>
    </xf>
    <xf numFmtId="0" fontId="30" fillId="20" borderId="14" xfId="0" applyFont="1" applyFill="1" applyBorder="1" applyAlignment="1">
      <alignment vertical="center"/>
    </xf>
    <xf numFmtId="0" fontId="30" fillId="20" borderId="0" xfId="0" applyFont="1" applyFill="1" applyAlignment="1">
      <alignment vertical="center" wrapText="1"/>
    </xf>
    <xf numFmtId="0" fontId="30" fillId="21" borderId="0" xfId="0" applyFont="1" applyFill="1" applyAlignment="1">
      <alignment vertical="center" wrapText="1"/>
    </xf>
    <xf numFmtId="0" fontId="30" fillId="15" borderId="14" xfId="0" applyFont="1" applyFill="1" applyBorder="1" applyAlignment="1">
      <alignment horizontal="right" vertical="center" wrapText="1"/>
    </xf>
    <xf numFmtId="0" fontId="30" fillId="15" borderId="0" xfId="0" applyFont="1" applyFill="1" applyAlignment="1">
      <alignment vertical="center" wrapText="1"/>
    </xf>
    <xf numFmtId="0" fontId="30" fillId="22" borderId="14" xfId="0" applyFont="1" applyFill="1" applyBorder="1" applyAlignment="1">
      <alignment vertical="center" wrapText="1"/>
    </xf>
    <xf numFmtId="0" fontId="30" fillId="22" borderId="0" xfId="0" applyFont="1" applyFill="1" applyAlignment="1">
      <alignment vertical="center" wrapText="1"/>
    </xf>
    <xf numFmtId="0" fontId="30" fillId="23" borderId="14" xfId="0" applyFont="1" applyFill="1" applyBorder="1" applyAlignment="1">
      <alignment vertical="center" wrapText="1"/>
    </xf>
    <xf numFmtId="0" fontId="30" fillId="23" borderId="0" xfId="0" applyFont="1" applyFill="1" applyAlignment="1">
      <alignment vertical="center" wrapText="1"/>
    </xf>
    <xf numFmtId="0" fontId="30" fillId="18" borderId="14" xfId="0" applyFont="1" applyFill="1" applyBorder="1" applyAlignment="1">
      <alignment vertical="center" wrapText="1"/>
    </xf>
    <xf numFmtId="0" fontId="30" fillId="18" borderId="0" xfId="0" applyFont="1" applyFill="1" applyAlignment="1">
      <alignment vertical="center" wrapText="1"/>
    </xf>
    <xf numFmtId="0" fontId="30" fillId="2" borderId="14" xfId="0" applyFont="1" applyFill="1" applyBorder="1" applyAlignment="1">
      <alignment vertical="center" wrapText="1"/>
    </xf>
    <xf numFmtId="0" fontId="21" fillId="3" borderId="0" xfId="0" applyFont="1" applyFill="1" applyAlignment="1">
      <alignment vertical="top"/>
    </xf>
    <xf numFmtId="166" fontId="21" fillId="3" borderId="0" xfId="0" applyNumberFormat="1" applyFont="1" applyFill="1"/>
    <xf numFmtId="0" fontId="32" fillId="3" borderId="0" xfId="0" applyFont="1" applyFill="1" applyBorder="1" applyAlignment="1">
      <alignment horizontal="right" vertical="top"/>
    </xf>
    <xf numFmtId="0" fontId="21" fillId="3" borderId="0" xfId="0" applyFont="1" applyFill="1" applyAlignment="1">
      <alignment vertical="top" wrapText="1"/>
    </xf>
    <xf numFmtId="9" fontId="21" fillId="3" borderId="0" xfId="0" applyNumberFormat="1" applyFont="1" applyFill="1" applyAlignment="1">
      <alignment vertical="top" wrapText="1"/>
    </xf>
    <xf numFmtId="49" fontId="21" fillId="3" borderId="0" xfId="0" applyNumberFormat="1" applyFont="1" applyFill="1" applyAlignment="1">
      <alignment vertical="top"/>
    </xf>
    <xf numFmtId="0" fontId="21" fillId="25" borderId="0" xfId="0" applyFont="1" applyFill="1" applyAlignment="1">
      <alignment vertical="top"/>
    </xf>
    <xf numFmtId="166" fontId="21" fillId="25" borderId="0" xfId="0" applyNumberFormat="1" applyFont="1" applyFill="1" applyAlignment="1">
      <alignment vertical="top"/>
    </xf>
    <xf numFmtId="0" fontId="32" fillId="25" borderId="1" xfId="0" applyFont="1" applyFill="1" applyBorder="1" applyAlignment="1">
      <alignment horizontal="right" vertical="top" wrapText="1"/>
    </xf>
    <xf numFmtId="0" fontId="32" fillId="25" borderId="0" xfId="0" applyFont="1" applyFill="1" applyBorder="1" applyAlignment="1">
      <alignment horizontal="right" vertical="top" wrapText="1"/>
    </xf>
    <xf numFmtId="166" fontId="21" fillId="25" borderId="0" xfId="0" applyNumberFormat="1" applyFont="1" applyFill="1"/>
    <xf numFmtId="0" fontId="32" fillId="25" borderId="1" xfId="0" applyFont="1" applyFill="1" applyBorder="1" applyAlignment="1">
      <alignment horizontal="right" vertical="top"/>
    </xf>
    <xf numFmtId="0" fontId="32" fillId="25" borderId="0" xfId="0" applyFont="1" applyFill="1" applyBorder="1" applyAlignment="1">
      <alignment horizontal="right" vertical="top"/>
    </xf>
    <xf numFmtId="164" fontId="21" fillId="0" borderId="0" xfId="0" applyNumberFormat="1" applyFont="1" applyAlignment="1">
      <alignment vertical="top"/>
    </xf>
    <xf numFmtId="2" fontId="21" fillId="0" borderId="0" xfId="0" applyNumberFormat="1" applyFont="1" applyAlignment="1">
      <alignment vertical="top"/>
    </xf>
    <xf numFmtId="165" fontId="21" fillId="0" borderId="0" xfId="0" applyNumberFormat="1" applyFont="1" applyAlignment="1">
      <alignment vertical="top"/>
    </xf>
    <xf numFmtId="16" fontId="21" fillId="0" borderId="0" xfId="0" applyNumberFormat="1" applyFont="1" applyAlignment="1">
      <alignment vertical="top"/>
    </xf>
    <xf numFmtId="164" fontId="21" fillId="3" borderId="0" xfId="0" applyNumberFormat="1" applyFont="1" applyFill="1" applyAlignment="1">
      <alignment vertical="top"/>
    </xf>
    <xf numFmtId="0" fontId="21" fillId="16" borderId="0" xfId="0" applyFont="1" applyFill="1" applyAlignment="1">
      <alignment vertical="top"/>
    </xf>
    <xf numFmtId="1" fontId="21" fillId="16" borderId="0" xfId="0" applyNumberFormat="1" applyFont="1" applyFill="1" applyAlignment="1">
      <alignment vertical="top"/>
    </xf>
    <xf numFmtId="181" fontId="21" fillId="5" borderId="0" xfId="0" applyNumberFormat="1" applyFont="1" applyFill="1" applyAlignment="1">
      <alignment vertical="top"/>
    </xf>
    <xf numFmtId="166" fontId="21" fillId="27" borderId="0" xfId="0" applyNumberFormat="1" applyFont="1" applyFill="1" applyAlignment="1">
      <alignment vertical="top"/>
    </xf>
    <xf numFmtId="0" fontId="21" fillId="27" borderId="0" xfId="0" applyFont="1" applyFill="1" applyAlignment="1">
      <alignment vertical="top"/>
    </xf>
    <xf numFmtId="164" fontId="21" fillId="27" borderId="0" xfId="0" applyNumberFormat="1" applyFont="1" applyFill="1" applyAlignment="1">
      <alignment vertical="top"/>
    </xf>
    <xf numFmtId="2" fontId="21" fillId="27" borderId="0" xfId="0" applyNumberFormat="1" applyFont="1" applyFill="1" applyAlignment="1">
      <alignment vertical="top"/>
    </xf>
    <xf numFmtId="165" fontId="21" fillId="27" borderId="0" xfId="0" applyNumberFormat="1" applyFont="1" applyFill="1" applyAlignment="1">
      <alignment vertical="top"/>
    </xf>
    <xf numFmtId="43" fontId="0" fillId="27" borderId="0" xfId="0" applyNumberFormat="1" applyFill="1"/>
    <xf numFmtId="2" fontId="7" fillId="27" borderId="0" xfId="0" applyNumberFormat="1" applyFont="1" applyFill="1"/>
    <xf numFmtId="168" fontId="0" fillId="27" borderId="0" xfId="2" applyNumberFormat="1" applyFont="1" applyFill="1"/>
    <xf numFmtId="166" fontId="7" fillId="27" borderId="0" xfId="0" applyNumberFormat="1" applyFont="1" applyFill="1"/>
    <xf numFmtId="0" fontId="7" fillId="27" borderId="0" xfId="0" applyFont="1" applyFill="1"/>
    <xf numFmtId="168" fontId="0" fillId="27" borderId="0" xfId="0" applyNumberFormat="1" applyFill="1"/>
    <xf numFmtId="168" fontId="0" fillId="5" borderId="0" xfId="0" applyNumberFormat="1" applyFill="1"/>
    <xf numFmtId="0" fontId="30" fillId="2" borderId="0" xfId="0" applyFont="1" applyFill="1" applyAlignment="1">
      <alignment horizontal="right" vertical="center"/>
    </xf>
    <xf numFmtId="0" fontId="30" fillId="2" borderId="0" xfId="0" applyFont="1" applyFill="1" applyAlignment="1">
      <alignment vertical="center"/>
    </xf>
    <xf numFmtId="0" fontId="34" fillId="3" borderId="0" xfId="0" applyFont="1" applyFill="1" applyAlignment="1">
      <alignment vertical="center"/>
    </xf>
    <xf numFmtId="0" fontId="34" fillId="3" borderId="33" xfId="0" applyFont="1" applyFill="1" applyBorder="1" applyAlignment="1">
      <alignment vertical="center"/>
    </xf>
    <xf numFmtId="0" fontId="33" fillId="3" borderId="32" xfId="0" applyFont="1" applyFill="1" applyBorder="1" applyAlignment="1">
      <alignment horizontal="center" vertical="center" wrapText="1"/>
    </xf>
    <xf numFmtId="166" fontId="33" fillId="3" borderId="0" xfId="0" applyNumberFormat="1" applyFont="1" applyFill="1" applyAlignment="1"/>
    <xf numFmtId="0" fontId="33" fillId="3" borderId="0" xfId="0" applyFont="1" applyFill="1" applyAlignment="1"/>
    <xf numFmtId="166" fontId="30" fillId="3" borderId="0" xfId="0" applyNumberFormat="1" applyFont="1" applyFill="1" applyAlignment="1"/>
    <xf numFmtId="2" fontId="7" fillId="5" borderId="0" xfId="4" applyNumberFormat="1" applyFont="1" applyFill="1"/>
    <xf numFmtId="43" fontId="7" fillId="5" borderId="0" xfId="2" applyFont="1" applyFill="1"/>
    <xf numFmtId="2" fontId="0" fillId="0" borderId="0" xfId="0" applyNumberFormat="1" applyAlignment="1">
      <alignment wrapText="1"/>
    </xf>
    <xf numFmtId="43" fontId="7" fillId="0" borderId="0" xfId="2" applyFont="1"/>
    <xf numFmtId="0" fontId="28" fillId="0" borderId="23" xfId="0" applyFont="1" applyBorder="1" applyAlignment="1">
      <alignment vertical="center"/>
    </xf>
    <xf numFmtId="0" fontId="28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 wrapText="1"/>
    </xf>
    <xf numFmtId="0" fontId="36" fillId="0" borderId="23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 wrapText="1"/>
    </xf>
    <xf numFmtId="43" fontId="0" fillId="0" borderId="0" xfId="2" applyFont="1"/>
    <xf numFmtId="9" fontId="28" fillId="0" borderId="0" xfId="3" applyFont="1" applyAlignment="1">
      <alignment horizontal="center" vertical="center"/>
    </xf>
    <xf numFmtId="9" fontId="0" fillId="0" borderId="0" xfId="3" applyFont="1" applyAlignment="1">
      <alignment vertical="center"/>
    </xf>
    <xf numFmtId="9" fontId="28" fillId="0" borderId="23" xfId="3" applyFont="1" applyBorder="1" applyAlignment="1">
      <alignment horizontal="center" vertical="center"/>
    </xf>
    <xf numFmtId="166" fontId="28" fillId="0" borderId="0" xfId="0" applyNumberFormat="1" applyFont="1" applyAlignment="1">
      <alignment horizontal="center" vertical="center" wrapText="1"/>
    </xf>
    <xf numFmtId="166" fontId="36" fillId="0" borderId="23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2" fontId="7" fillId="0" borderId="1" xfId="0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wrapText="1"/>
    </xf>
    <xf numFmtId="168" fontId="7" fillId="0" borderId="1" xfId="0" applyNumberFormat="1" applyFont="1" applyFill="1" applyBorder="1"/>
    <xf numFmtId="43" fontId="7" fillId="0" borderId="1" xfId="0" applyNumberFormat="1" applyFont="1" applyFill="1" applyBorder="1"/>
    <xf numFmtId="43" fontId="7" fillId="3" borderId="1" xfId="2" applyFont="1" applyFill="1" applyBorder="1"/>
    <xf numFmtId="168" fontId="28" fillId="0" borderId="0" xfId="0" applyNumberFormat="1" applyFont="1" applyAlignment="1">
      <alignment horizontal="center" vertical="center" wrapText="1"/>
    </xf>
    <xf numFmtId="43" fontId="36" fillId="0" borderId="23" xfId="2" applyFont="1" applyBorder="1" applyAlignment="1">
      <alignment horizontal="center" vertical="center"/>
    </xf>
    <xf numFmtId="43" fontId="0" fillId="28" borderId="0" xfId="2" applyFont="1" applyFill="1"/>
    <xf numFmtId="2" fontId="1" fillId="0" borderId="1" xfId="0" applyNumberFormat="1" applyFont="1" applyFill="1" applyBorder="1" applyAlignment="1">
      <alignment horizontal="right" vertical="center" wrapText="1"/>
    </xf>
    <xf numFmtId="170" fontId="7" fillId="0" borderId="1" xfId="2" applyNumberFormat="1" applyFont="1" applyFill="1" applyBorder="1"/>
    <xf numFmtId="168" fontId="7" fillId="3" borderId="1" xfId="0" applyNumberFormat="1" applyFont="1" applyFill="1" applyBorder="1"/>
    <xf numFmtId="43" fontId="7" fillId="3" borderId="1" xfId="0" applyNumberFormat="1" applyFont="1" applyFill="1" applyBorder="1"/>
    <xf numFmtId="166" fontId="7" fillId="3" borderId="1" xfId="0" applyNumberFormat="1" applyFont="1" applyFill="1" applyBorder="1"/>
    <xf numFmtId="0" fontId="1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7" fillId="5" borderId="1" xfId="0" applyFont="1" applyFill="1" applyBorder="1" applyAlignment="1">
      <alignment horizontal="right"/>
    </xf>
    <xf numFmtId="0" fontId="7" fillId="5" borderId="1" xfId="0" applyFont="1" applyFill="1" applyBorder="1"/>
    <xf numFmtId="1" fontId="7" fillId="5" borderId="1" xfId="0" applyNumberFormat="1" applyFont="1" applyFill="1" applyBorder="1"/>
    <xf numFmtId="168" fontId="7" fillId="5" borderId="1" xfId="2" applyNumberFormat="1" applyFont="1" applyFill="1" applyBorder="1"/>
    <xf numFmtId="1" fontId="7" fillId="0" borderId="10" xfId="0" applyNumberFormat="1" applyFont="1" applyFill="1" applyBorder="1" applyAlignment="1">
      <alignment horizontal="center"/>
    </xf>
    <xf numFmtId="1" fontId="7" fillId="0" borderId="11" xfId="0" applyNumberFormat="1" applyFont="1" applyFill="1" applyBorder="1" applyAlignment="1">
      <alignment horizontal="center"/>
    </xf>
    <xf numFmtId="43" fontId="7" fillId="5" borderId="1" xfId="0" applyNumberFormat="1" applyFont="1" applyFill="1" applyBorder="1"/>
    <xf numFmtId="168" fontId="1" fillId="0" borderId="1" xfId="2" applyNumberFormat="1" applyFont="1" applyFill="1" applyBorder="1" applyAlignment="1">
      <alignment horizontal="right" vertical="center" wrapText="1"/>
    </xf>
    <xf numFmtId="168" fontId="1" fillId="0" borderId="1" xfId="0" applyNumberFormat="1" applyFont="1" applyFill="1" applyBorder="1" applyAlignment="1">
      <alignment horizontal="right" vertical="center"/>
    </xf>
    <xf numFmtId="168" fontId="1" fillId="5" borderId="1" xfId="2" applyNumberFormat="1" applyFont="1" applyFill="1" applyBorder="1" applyAlignment="1">
      <alignment horizontal="right" vertical="center" wrapText="1"/>
    </xf>
    <xf numFmtId="168" fontId="7" fillId="5" borderId="1" xfId="0" applyNumberFormat="1" applyFont="1" applyFill="1" applyBorder="1"/>
    <xf numFmtId="166" fontId="7" fillId="5" borderId="1" xfId="0" applyNumberFormat="1" applyFont="1" applyFill="1" applyBorder="1"/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3" fontId="7" fillId="5" borderId="1" xfId="2" applyFont="1" applyFill="1" applyBorder="1"/>
    <xf numFmtId="1" fontId="7" fillId="0" borderId="10" xfId="0" applyNumberFormat="1" applyFont="1" applyFill="1" applyBorder="1"/>
    <xf numFmtId="170" fontId="0" fillId="0" borderId="0" xfId="0" applyNumberFormat="1"/>
    <xf numFmtId="0" fontId="1" fillId="5" borderId="7" xfId="0" applyFont="1" applyFill="1" applyBorder="1" applyAlignment="1">
      <alignment horizontal="right" vertical="center"/>
    </xf>
    <xf numFmtId="0" fontId="1" fillId="5" borderId="9" xfId="0" applyFont="1" applyFill="1" applyBorder="1" applyAlignment="1">
      <alignment horizontal="right" vertical="center"/>
    </xf>
    <xf numFmtId="43" fontId="7" fillId="0" borderId="0" xfId="2" applyFont="1" applyFill="1" applyBorder="1"/>
    <xf numFmtId="1" fontId="7" fillId="0" borderId="1" xfId="2" applyNumberFormat="1" applyFont="1" applyFill="1" applyBorder="1"/>
    <xf numFmtId="1" fontId="1" fillId="0" borderId="14" xfId="0" applyNumberFormat="1" applyFont="1" applyBorder="1" applyAlignment="1">
      <alignment horizontal="right" vertical="center"/>
    </xf>
    <xf numFmtId="1" fontId="1" fillId="0" borderId="15" xfId="0" applyNumberFormat="1" applyFont="1" applyBorder="1" applyAlignment="1">
      <alignment horizontal="right" vertical="center"/>
    </xf>
    <xf numFmtId="1" fontId="1" fillId="0" borderId="7" xfId="0" applyNumberFormat="1" applyFont="1" applyBorder="1" applyAlignment="1">
      <alignment horizontal="right" vertical="center"/>
    </xf>
    <xf numFmtId="1" fontId="1" fillId="0" borderId="9" xfId="0" applyNumberFormat="1" applyFont="1" applyBorder="1" applyAlignment="1">
      <alignment horizontal="right" vertical="center"/>
    </xf>
    <xf numFmtId="164" fontId="7" fillId="3" borderId="1" xfId="0" applyNumberFormat="1" applyFont="1" applyFill="1" applyBorder="1"/>
    <xf numFmtId="0" fontId="7" fillId="0" borderId="0" xfId="0" applyFont="1" applyFill="1" applyBorder="1"/>
    <xf numFmtId="1" fontId="7" fillId="3" borderId="0" xfId="0" applyNumberFormat="1" applyFont="1" applyFill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7" fillId="0" borderId="5" xfId="0" applyFont="1" applyFill="1" applyBorder="1"/>
    <xf numFmtId="1" fontId="7" fillId="0" borderId="5" xfId="0" applyNumberFormat="1" applyFont="1" applyFill="1" applyBorder="1"/>
    <xf numFmtId="0" fontId="7" fillId="3" borderId="16" xfId="0" applyFont="1" applyFill="1" applyBorder="1"/>
    <xf numFmtId="0" fontId="7" fillId="26" borderId="1" xfId="0" applyFont="1" applyFill="1" applyBorder="1"/>
    <xf numFmtId="0" fontId="0" fillId="26" borderId="1" xfId="0" applyFill="1" applyBorder="1"/>
    <xf numFmtId="2" fontId="5" fillId="26" borderId="1" xfId="0" applyNumberFormat="1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 wrapText="1"/>
    </xf>
    <xf numFmtId="1" fontId="7" fillId="26" borderId="1" xfId="0" applyNumberFormat="1" applyFont="1" applyFill="1" applyBorder="1" applyAlignment="1">
      <alignment wrapText="1"/>
    </xf>
    <xf numFmtId="0" fontId="7" fillId="26" borderId="1" xfId="0" applyFont="1" applyFill="1" applyBorder="1" applyAlignment="1">
      <alignment wrapText="1"/>
    </xf>
    <xf numFmtId="0" fontId="7" fillId="26" borderId="1" xfId="0" applyFont="1" applyFill="1" applyBorder="1" applyAlignment="1">
      <alignment horizontal="center" vertical="center"/>
    </xf>
    <xf numFmtId="0" fontId="0" fillId="26" borderId="1" xfId="0" applyNumberFormat="1" applyFill="1" applyBorder="1"/>
    <xf numFmtId="1" fontId="7" fillId="26" borderId="1" xfId="0" applyNumberFormat="1" applyFont="1" applyFill="1" applyBorder="1"/>
    <xf numFmtId="1" fontId="0" fillId="26" borderId="1" xfId="0" applyNumberFormat="1" applyFill="1" applyBorder="1"/>
    <xf numFmtId="1" fontId="1" fillId="26" borderId="1" xfId="0" applyNumberFormat="1" applyFont="1" applyFill="1" applyBorder="1" applyAlignment="1">
      <alignment horizontal="right" vertical="center" wrapText="1"/>
    </xf>
    <xf numFmtId="0" fontId="1" fillId="26" borderId="1" xfId="0" applyFont="1" applyFill="1" applyBorder="1" applyAlignment="1">
      <alignment horizontal="right" vertical="center" wrapText="1"/>
    </xf>
    <xf numFmtId="1" fontId="1" fillId="26" borderId="1" xfId="0" applyNumberFormat="1" applyFont="1" applyFill="1" applyBorder="1" applyAlignment="1">
      <alignment horizontal="right" vertical="center"/>
    </xf>
    <xf numFmtId="0" fontId="1" fillId="26" borderId="1" xfId="0" applyFont="1" applyFill="1" applyBorder="1" applyAlignment="1">
      <alignment horizontal="right" vertical="center"/>
    </xf>
    <xf numFmtId="168" fontId="7" fillId="26" borderId="1" xfId="0" applyNumberFormat="1" applyFont="1" applyFill="1" applyBorder="1"/>
    <xf numFmtId="0" fontId="0" fillId="26" borderId="0" xfId="0" applyFill="1"/>
    <xf numFmtId="0" fontId="1" fillId="2" borderId="3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37" fillId="2" borderId="33" xfId="0" applyFont="1" applyFill="1" applyBorder="1" applyAlignment="1">
      <alignment horizontal="center" vertical="center"/>
    </xf>
    <xf numFmtId="9" fontId="37" fillId="2" borderId="3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7" fillId="27" borderId="0" xfId="0" applyNumberFormat="1" applyFont="1" applyFill="1"/>
    <xf numFmtId="0" fontId="1" fillId="29" borderId="0" xfId="0" applyFont="1" applyFill="1" applyAlignment="1">
      <alignment horizontal="right" vertical="center"/>
    </xf>
    <xf numFmtId="2" fontId="37" fillId="2" borderId="33" xfId="0" applyNumberFormat="1" applyFont="1" applyFill="1" applyBorder="1" applyAlignment="1">
      <alignment horizontal="center" vertical="center"/>
    </xf>
    <xf numFmtId="43" fontId="1" fillId="0" borderId="0" xfId="2" applyFont="1" applyAlignment="1">
      <alignment horizontal="right" vertical="center"/>
    </xf>
    <xf numFmtId="170" fontId="1" fillId="0" borderId="0" xfId="2" applyNumberFormat="1" applyFont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9" fontId="0" fillId="0" borderId="0" xfId="0" applyNumberFormat="1" applyAlignment="1">
      <alignment wrapText="1"/>
    </xf>
    <xf numFmtId="1" fontId="7" fillId="30" borderId="0" xfId="0" applyNumberFormat="1" applyFont="1" applyFill="1"/>
    <xf numFmtId="0" fontId="0" fillId="30" borderId="0" xfId="0" applyFill="1"/>
    <xf numFmtId="1" fontId="7" fillId="30" borderId="1" xfId="0" applyNumberFormat="1" applyFont="1" applyFill="1" applyBorder="1"/>
    <xf numFmtId="0" fontId="0" fillId="30" borderId="1" xfId="0" applyFill="1" applyBorder="1" applyAlignment="1">
      <alignment horizontal="center"/>
    </xf>
    <xf numFmtId="168" fontId="0" fillId="30" borderId="1" xfId="0" applyNumberFormat="1" applyFill="1" applyBorder="1" applyAlignment="1">
      <alignment horizontal="center"/>
    </xf>
    <xf numFmtId="0" fontId="7" fillId="30" borderId="0" xfId="0" applyFont="1" applyFill="1"/>
    <xf numFmtId="0" fontId="7" fillId="30" borderId="1" xfId="0" applyFont="1" applyFill="1" applyBorder="1"/>
    <xf numFmtId="168" fontId="7" fillId="30" borderId="1" xfId="0" applyNumberFormat="1" applyFont="1" applyFill="1" applyBorder="1"/>
    <xf numFmtId="0" fontId="0" fillId="30" borderId="0" xfId="0" applyFill="1" applyAlignment="1">
      <alignment horizontal="center"/>
    </xf>
    <xf numFmtId="168" fontId="0" fillId="30" borderId="0" xfId="0" applyNumberFormat="1" applyFill="1"/>
    <xf numFmtId="2" fontId="0" fillId="26" borderId="0" xfId="0" applyNumberFormat="1" applyFill="1"/>
    <xf numFmtId="166" fontId="26" fillId="0" borderId="0" xfId="0" applyNumberFormat="1" applyFont="1"/>
    <xf numFmtId="165" fontId="0" fillId="26" borderId="0" xfId="0" applyNumberFormat="1" applyFill="1"/>
    <xf numFmtId="168" fontId="7" fillId="0" borderId="0" xfId="0" applyNumberFormat="1" applyFont="1" applyFill="1" applyBorder="1"/>
    <xf numFmtId="43" fontId="7" fillId="0" borderId="0" xfId="0" applyNumberFormat="1" applyFont="1" applyFill="1" applyBorder="1"/>
    <xf numFmtId="1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26" borderId="1" xfId="0" applyNumberFormat="1" applyFont="1" applyFill="1" applyBorder="1" applyAlignment="1">
      <alignment wrapText="1"/>
    </xf>
    <xf numFmtId="43" fontId="7" fillId="5" borderId="0" xfId="2" applyFont="1" applyFill="1" applyBorder="1"/>
    <xf numFmtId="2" fontId="0" fillId="9" borderId="0" xfId="0" applyNumberFormat="1" applyFill="1" applyAlignment="1">
      <alignment horizontal="center"/>
    </xf>
    <xf numFmtId="2" fontId="0" fillId="30" borderId="0" xfId="0" applyNumberFormat="1" applyFill="1"/>
    <xf numFmtId="1" fontId="7" fillId="5" borderId="1" xfId="0" applyNumberFormat="1" applyFont="1" applyFill="1" applyBorder="1" applyAlignment="1">
      <alignment horizontal="center" vertical="center" wrapText="1"/>
    </xf>
    <xf numFmtId="166" fontId="7" fillId="5" borderId="0" xfId="0" applyNumberFormat="1" applyFont="1" applyFill="1" applyBorder="1"/>
    <xf numFmtId="2" fontId="7" fillId="26" borderId="0" xfId="0" applyNumberFormat="1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2" fontId="7" fillId="5" borderId="1" xfId="0" applyNumberFormat="1" applyFont="1" applyFill="1" applyBorder="1" applyAlignment="1">
      <alignment wrapText="1"/>
    </xf>
    <xf numFmtId="1" fontId="7" fillId="5" borderId="1" xfId="0" applyNumberFormat="1" applyFont="1" applyFill="1" applyBorder="1" applyAlignment="1">
      <alignment wrapText="1"/>
    </xf>
    <xf numFmtId="0" fontId="7" fillId="26" borderId="16" xfId="0" applyFont="1" applyFill="1" applyBorder="1"/>
    <xf numFmtId="1" fontId="7" fillId="26" borderId="0" xfId="0" applyNumberFormat="1" applyFont="1" applyFill="1" applyBorder="1"/>
    <xf numFmtId="1" fontId="0" fillId="26" borderId="0" xfId="0" applyNumberFormat="1" applyFill="1" applyBorder="1"/>
    <xf numFmtId="0" fontId="1" fillId="26" borderId="0" xfId="0" applyFont="1" applyFill="1" applyBorder="1" applyAlignment="1">
      <alignment horizontal="right" vertical="center"/>
    </xf>
    <xf numFmtId="0" fontId="0" fillId="26" borderId="0" xfId="0" applyNumberFormat="1" applyFill="1" applyBorder="1"/>
    <xf numFmtId="0" fontId="7" fillId="26" borderId="0" xfId="0" applyFont="1" applyFill="1" applyBorder="1"/>
    <xf numFmtId="43" fontId="7" fillId="26" borderId="0" xfId="2" applyFont="1" applyFill="1" applyBorder="1"/>
    <xf numFmtId="43" fontId="7" fillId="3" borderId="0" xfId="2" applyFont="1" applyFill="1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8" fillId="0" borderId="34" xfId="0" applyFont="1" applyBorder="1" applyAlignment="1">
      <alignment vertical="center" wrapText="1"/>
    </xf>
    <xf numFmtId="0" fontId="38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0" xfId="0" applyFont="1" applyFill="1" applyBorder="1"/>
    <xf numFmtId="170" fontId="7" fillId="3" borderId="1" xfId="2" applyNumberFormat="1" applyFont="1" applyFill="1" applyBorder="1"/>
    <xf numFmtId="43" fontId="7" fillId="19" borderId="1" xfId="2" applyFont="1" applyFill="1" applyBorder="1"/>
    <xf numFmtId="1" fontId="7" fillId="19" borderId="1" xfId="2" applyNumberFormat="1" applyFont="1" applyFill="1" applyBorder="1"/>
    <xf numFmtId="0" fontId="1" fillId="2" borderId="22" xfId="0" applyFont="1" applyFill="1" applyBorder="1" applyAlignment="1">
      <alignment horizontal="right"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2" fontId="1" fillId="10" borderId="7" xfId="0" applyNumberFormat="1" applyFont="1" applyFill="1" applyBorder="1" applyAlignment="1">
      <alignment horizontal="right" vertical="center" wrapText="1"/>
    </xf>
    <xf numFmtId="2" fontId="1" fillId="10" borderId="9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/>
    <xf numFmtId="170" fontId="7" fillId="27" borderId="0" xfId="0" applyNumberFormat="1" applyFont="1" applyFill="1"/>
    <xf numFmtId="0" fontId="27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5">
    <cellStyle name="Comma" xfId="2" builtinId="3"/>
    <cellStyle name="Currency" xfId="4" builtinId="4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548640</xdr:colOff>
      <xdr:row>36</xdr:row>
      <xdr:rowOff>167640</xdr:rowOff>
    </xdr:from>
    <xdr:to>
      <xdr:col>10</xdr:col>
      <xdr:colOff>1011329</xdr:colOff>
      <xdr:row>64</xdr:row>
      <xdr:rowOff>37281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F2CBCF-70C1-43F0-B072-FA314008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6949440"/>
          <a:ext cx="9538109" cy="4990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63"/>
  <sheetViews>
    <sheetView workbookViewId="0">
      <selection activeCell="I3" sqref="I3"/>
    </sheetView>
  </sheetViews>
  <sheetFormatPr defaultRowHeight="12"/>
  <cols>
    <col min="1" max="1" width="16.109375" style="110" customWidth="1"/>
    <col min="2" max="3" width="3.77734375" style="7" customWidth="1"/>
    <col min="4" max="4" width="6.5546875" style="7" customWidth="1"/>
    <col min="5" max="7" width="3.77734375" style="7" customWidth="1"/>
    <col min="8" max="8" width="1.109375" style="7" customWidth="1"/>
    <col min="9" max="9" width="7.109375" style="8" customWidth="1"/>
    <col min="10" max="10" width="5.6640625" style="8" customWidth="1"/>
    <col min="11" max="11" width="7.109375" style="8" customWidth="1"/>
    <col min="12" max="17" width="0.88671875" style="201" customWidth="1"/>
    <col min="18" max="18" width="2.21875" style="7" customWidth="1"/>
    <col min="19" max="22" width="7.88671875" style="7" customWidth="1"/>
    <col min="23" max="25" width="6.88671875" style="54" customWidth="1"/>
    <col min="26" max="32" width="2.88671875" style="55" customWidth="1"/>
    <col min="33" max="41" width="2.88671875" style="7" customWidth="1"/>
    <col min="42" max="42" width="5.77734375" style="7" customWidth="1"/>
    <col min="43" max="43" width="6.6640625" style="7" customWidth="1"/>
    <col min="44" max="44" width="9.77734375" style="10" customWidth="1"/>
    <col min="45" max="45" width="11.44140625" style="64" customWidth="1"/>
    <col min="46" max="46" width="8.88671875" style="8"/>
    <col min="47" max="47" width="8.88671875" style="64"/>
    <col min="48" max="48" width="8.88671875" style="8"/>
    <col min="49" max="49" width="8.88671875" style="64"/>
    <col min="50" max="50" width="8.88671875" style="10"/>
    <col min="51" max="51" width="8.88671875" style="64"/>
    <col min="52" max="52" width="8.88671875" style="10"/>
    <col min="53" max="53" width="8.88671875" style="64"/>
    <col min="54" max="54" width="8.88671875" style="10"/>
    <col min="55" max="55" width="8.88671875" style="64"/>
    <col min="56" max="56" width="15.88671875" style="10" customWidth="1"/>
    <col min="57" max="57" width="8.33203125" style="64" customWidth="1"/>
    <col min="58" max="58" width="8.88671875" style="10"/>
    <col min="59" max="59" width="8.88671875" style="64"/>
    <col min="60" max="16384" width="8.88671875" style="7"/>
  </cols>
  <sheetData>
    <row r="1" spans="1:59">
      <c r="D1" s="322" t="s">
        <v>42</v>
      </c>
      <c r="E1" s="323"/>
      <c r="F1" s="323"/>
      <c r="R1" s="77" t="s">
        <v>67</v>
      </c>
      <c r="S1" s="77"/>
      <c r="T1" s="77"/>
      <c r="U1" s="77"/>
      <c r="V1" s="77"/>
      <c r="W1" s="324" t="s">
        <v>154</v>
      </c>
      <c r="X1" s="324"/>
      <c r="Y1" s="324"/>
      <c r="Z1" s="324"/>
      <c r="AA1" s="324"/>
      <c r="AB1" s="324"/>
      <c r="AC1" s="324"/>
      <c r="AD1" s="78"/>
      <c r="AE1" s="78"/>
      <c r="AF1" s="78"/>
      <c r="AG1" s="7" t="s">
        <v>138</v>
      </c>
      <c r="AO1" s="7" t="s">
        <v>142</v>
      </c>
      <c r="AR1" s="62" t="s">
        <v>159</v>
      </c>
      <c r="AS1" s="63"/>
      <c r="AT1" s="97" t="s">
        <v>160</v>
      </c>
      <c r="AU1" s="63"/>
      <c r="AV1" s="97" t="s">
        <v>150</v>
      </c>
      <c r="AW1" s="63"/>
      <c r="AX1" s="66" t="s">
        <v>57</v>
      </c>
      <c r="AY1" s="63"/>
      <c r="AZ1" s="66" t="s">
        <v>1</v>
      </c>
      <c r="BA1" s="63"/>
      <c r="BB1" s="66" t="s">
        <v>2</v>
      </c>
      <c r="BC1" s="63"/>
      <c r="BD1" s="66" t="s">
        <v>164</v>
      </c>
      <c r="BE1" s="63"/>
      <c r="BF1" s="66" t="s">
        <v>163</v>
      </c>
    </row>
    <row r="2" spans="1:59" s="76" customFormat="1" ht="49.2" customHeight="1">
      <c r="A2" s="198" t="s">
        <v>162</v>
      </c>
      <c r="B2" s="72" t="s">
        <v>308</v>
      </c>
      <c r="C2" s="72" t="s">
        <v>308</v>
      </c>
      <c r="D2" s="72" t="s">
        <v>56</v>
      </c>
      <c r="E2" s="72" t="s">
        <v>39</v>
      </c>
      <c r="F2" s="72" t="s">
        <v>40</v>
      </c>
      <c r="G2" s="72" t="s">
        <v>47</v>
      </c>
      <c r="H2" s="72" t="s">
        <v>47</v>
      </c>
      <c r="I2" s="199" t="s">
        <v>48</v>
      </c>
      <c r="J2" s="72" t="s">
        <v>44</v>
      </c>
      <c r="K2" s="72" t="s">
        <v>43</v>
      </c>
      <c r="L2" s="202" t="s">
        <v>45</v>
      </c>
      <c r="M2" s="202" t="s">
        <v>45</v>
      </c>
      <c r="N2" s="202" t="s">
        <v>45</v>
      </c>
      <c r="O2" s="203" t="s">
        <v>46</v>
      </c>
      <c r="P2" s="203" t="s">
        <v>46</v>
      </c>
      <c r="Q2" s="203" t="s">
        <v>46</v>
      </c>
      <c r="R2" s="76" t="s">
        <v>303</v>
      </c>
      <c r="S2" s="76" t="s">
        <v>304</v>
      </c>
      <c r="T2" s="76" t="s">
        <v>305</v>
      </c>
      <c r="U2" s="76" t="s">
        <v>306</v>
      </c>
      <c r="V2" s="76" t="s">
        <v>307</v>
      </c>
      <c r="W2" s="318" t="s">
        <v>143</v>
      </c>
      <c r="X2" s="319"/>
      <c r="Y2" s="320"/>
      <c r="Z2" s="318" t="s">
        <v>142</v>
      </c>
      <c r="AA2" s="319"/>
      <c r="AB2" s="320"/>
      <c r="AC2" s="318" t="s">
        <v>152</v>
      </c>
      <c r="AD2" s="319"/>
      <c r="AE2" s="320"/>
      <c r="AF2" s="321" t="s">
        <v>25</v>
      </c>
      <c r="AG2" s="321"/>
      <c r="AH2" s="321"/>
      <c r="AI2" s="318" t="s">
        <v>26</v>
      </c>
      <c r="AJ2" s="319"/>
      <c r="AK2" s="320"/>
      <c r="AL2" s="318" t="s">
        <v>27</v>
      </c>
      <c r="AM2" s="319"/>
      <c r="AN2" s="320"/>
      <c r="AO2" s="200"/>
      <c r="AP2" s="75" t="s">
        <v>140</v>
      </c>
      <c r="AQ2" s="113" t="s">
        <v>406</v>
      </c>
      <c r="AR2" s="75" t="s">
        <v>140</v>
      </c>
      <c r="AS2" s="113" t="s">
        <v>161</v>
      </c>
      <c r="AT2" s="111" t="s">
        <v>140</v>
      </c>
      <c r="AU2" s="113"/>
      <c r="AV2" s="111" t="s">
        <v>140</v>
      </c>
      <c r="AW2" s="113"/>
      <c r="AX2" s="103" t="s">
        <v>140</v>
      </c>
      <c r="AY2" s="113"/>
      <c r="AZ2" s="103" t="s">
        <v>140</v>
      </c>
      <c r="BA2" s="114"/>
      <c r="BB2" s="103" t="s">
        <v>140</v>
      </c>
      <c r="BC2" s="114"/>
      <c r="BD2" s="103" t="s">
        <v>140</v>
      </c>
      <c r="BE2" s="113"/>
      <c r="BF2" s="104"/>
      <c r="BG2" s="114"/>
    </row>
    <row r="3" spans="1:59" s="76" customFormat="1" ht="22.2" customHeight="1">
      <c r="A3" s="71" t="s">
        <v>3</v>
      </c>
      <c r="B3" s="72">
        <v>1.87</v>
      </c>
      <c r="C3" s="72">
        <v>0.73199999999999998</v>
      </c>
      <c r="D3" s="72">
        <v>37.6</v>
      </c>
      <c r="E3" s="72">
        <v>30.5</v>
      </c>
      <c r="F3" s="72">
        <v>47.5</v>
      </c>
      <c r="G3" s="72">
        <f>LN(D3)</f>
        <v>3.6270040503958487</v>
      </c>
      <c r="H3" s="72">
        <f t="shared" ref="H3:H23" si="0">B3+(C3*G3)</f>
        <v>4.5249669648897619</v>
      </c>
      <c r="I3" s="73">
        <v>92.29</v>
      </c>
      <c r="J3" s="72" t="str">
        <f t="shared" ref="J3:J23" si="1">I3&amp;" "&amp; "("&amp;N3&amp; "-"&amp;Q3&amp; ")"</f>
        <v>92.29 (79.18-109.51)</v>
      </c>
      <c r="K3" s="2" t="s">
        <v>49</v>
      </c>
      <c r="L3" s="202">
        <f t="shared" ref="L3:L23" si="2">LN(E3)</f>
        <v>3.417726683613366</v>
      </c>
      <c r="M3" s="202">
        <f>B3+(C3*L3)</f>
        <v>4.3717759324049839</v>
      </c>
      <c r="N3" s="204">
        <v>79.180000000000007</v>
      </c>
      <c r="O3" s="202">
        <f t="shared" ref="O3:O23" si="3">LN(F3)</f>
        <v>3.8607297110405954</v>
      </c>
      <c r="P3" s="202">
        <f t="shared" ref="P3:P23" si="4">B3+(C3*O3)</f>
        <v>4.696054148481716</v>
      </c>
      <c r="Q3" s="204">
        <v>109.51</v>
      </c>
      <c r="R3" s="74"/>
      <c r="S3" s="74"/>
      <c r="T3" s="74"/>
      <c r="U3" s="74"/>
      <c r="V3" s="74"/>
      <c r="W3" s="75" t="s">
        <v>140</v>
      </c>
      <c r="X3" s="75" t="s">
        <v>139</v>
      </c>
      <c r="Y3" s="75" t="s">
        <v>141</v>
      </c>
      <c r="Z3" s="75" t="s">
        <v>140</v>
      </c>
      <c r="AA3" s="75" t="s">
        <v>139</v>
      </c>
      <c r="AB3" s="75" t="s">
        <v>141</v>
      </c>
      <c r="AC3" s="75" t="s">
        <v>140</v>
      </c>
      <c r="AD3" s="75" t="s">
        <v>148</v>
      </c>
      <c r="AE3" s="75" t="s">
        <v>141</v>
      </c>
      <c r="AF3" s="75" t="s">
        <v>140</v>
      </c>
      <c r="AG3" s="75" t="s">
        <v>157</v>
      </c>
      <c r="AH3" s="75" t="s">
        <v>141</v>
      </c>
      <c r="AI3" s="75" t="s">
        <v>140</v>
      </c>
      <c r="AJ3" s="75" t="s">
        <v>156</v>
      </c>
      <c r="AK3" s="75" t="s">
        <v>141</v>
      </c>
      <c r="AL3" s="75" t="s">
        <v>140</v>
      </c>
      <c r="AM3" s="75" t="s">
        <v>148</v>
      </c>
      <c r="AN3" s="75" t="s">
        <v>141</v>
      </c>
      <c r="AO3" s="75"/>
      <c r="AP3" s="103">
        <f>(I3/'Final insect weight kjg '!$F$25)</f>
        <v>5.2277104338960028</v>
      </c>
      <c r="AQ3" s="103">
        <f>AP3/'Final insect weight kjg '!$C$25</f>
        <v>358.06235848602756</v>
      </c>
      <c r="AR3" s="105">
        <f>(I3/'Final insect weight kjg '!$F$21)</f>
        <v>5.2277104338960028</v>
      </c>
      <c r="AS3" s="108">
        <f>AR3/'Final insect weight kjg '!$C$21</f>
        <v>86.421207829540734</v>
      </c>
      <c r="AT3" s="72">
        <f>I3/'Final insect weight kjg '!$F$16</f>
        <v>5.5889299339914018</v>
      </c>
      <c r="AU3" s="114">
        <f>AT3/'Final insect weight kjg '!$C$16</f>
        <v>13972.324834978504</v>
      </c>
      <c r="AV3" s="72">
        <f>I3/'Final insect weight kjg '!$F$4</f>
        <v>5.2527034718269778</v>
      </c>
      <c r="AW3" s="114">
        <f>AV3/'Final insect weight kjg '!$C$4</f>
        <v>32.544631176127496</v>
      </c>
      <c r="AX3" s="104">
        <f>I3/'Final insect weight kjg '!$F$14</f>
        <v>5.5889299339914018</v>
      </c>
      <c r="AY3" s="114">
        <f>AX3/'Final insect weight kjg '!$C$14</f>
        <v>1095.8686145081178</v>
      </c>
      <c r="AZ3" s="104">
        <f>I3/'Final insect weight kjg '!$F$15</f>
        <v>5.5889299339914018</v>
      </c>
      <c r="BA3" s="114">
        <f>AZ3/'Final insect weight kjg '!$C$15</f>
        <v>5080.8453945376377</v>
      </c>
      <c r="BB3" s="104">
        <f>'bat Energetic calcs'!I3/'Final insect weight kjg '!$F$28</f>
        <v>5.5280023959269249</v>
      </c>
      <c r="BC3" s="114">
        <f>BB3/'Final insect weight kjg '!$C$28</f>
        <v>89.740298635177354</v>
      </c>
      <c r="BD3" s="104">
        <f>I3/'Final insect weight kjg '!$H$9</f>
        <v>5.9738494400932121</v>
      </c>
      <c r="BE3" s="114">
        <f>BD3/'Final insect weight kjg '!$C$7</f>
        <v>3733.6559000582574</v>
      </c>
      <c r="BF3" s="104">
        <f>I3/'Final insect weight kjg '!$F$12</f>
        <v>6.4628851540616266</v>
      </c>
      <c r="BG3" s="114">
        <f>BF3/'Final insect weight kjg '!$C$12</f>
        <v>1267.2323831493384</v>
      </c>
    </row>
    <row r="4" spans="1:59" s="5" customFormat="1">
      <c r="A4" s="4" t="s">
        <v>4</v>
      </c>
      <c r="B4" s="6">
        <v>1.87</v>
      </c>
      <c r="C4" s="6">
        <v>0.73199999999999998</v>
      </c>
      <c r="D4" s="6">
        <v>7.7</v>
      </c>
      <c r="E4" s="6">
        <v>5.5</v>
      </c>
      <c r="F4" s="6">
        <v>12.2</v>
      </c>
      <c r="G4" s="6">
        <f t="shared" ref="G4:G23" si="5">LN(D4)</f>
        <v>2.0412203288596382</v>
      </c>
      <c r="H4" s="6">
        <f t="shared" si="0"/>
        <v>3.3641732807252556</v>
      </c>
      <c r="I4" s="68">
        <v>28.91</v>
      </c>
      <c r="J4" s="6" t="str">
        <f t="shared" si="1"/>
        <v>28.91 (22.6-40.49)</v>
      </c>
      <c r="K4" s="2" t="s">
        <v>49</v>
      </c>
      <c r="L4" s="181">
        <f t="shared" si="2"/>
        <v>1.7047480922384253</v>
      </c>
      <c r="M4" s="181">
        <f t="shared" ref="M4:M23" si="6">B4+(C4*L4)</f>
        <v>3.1178756035185273</v>
      </c>
      <c r="N4" s="204">
        <v>22.6</v>
      </c>
      <c r="O4" s="181">
        <f t="shared" si="3"/>
        <v>2.5014359517392109</v>
      </c>
      <c r="P4" s="181">
        <f t="shared" si="4"/>
        <v>3.7010511166731024</v>
      </c>
      <c r="Q4" s="205">
        <v>40.49</v>
      </c>
      <c r="R4" s="9"/>
      <c r="S4" s="9"/>
      <c r="T4" s="9"/>
      <c r="U4" s="9"/>
      <c r="V4" s="9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103">
        <f>(I4/'Final insect weight kjg '!$F$25)</f>
        <v>1.6375892149088029</v>
      </c>
      <c r="AQ4" s="103">
        <f>AP4/'Final insect weight kjg '!$C$25</f>
        <v>112.16364485676732</v>
      </c>
      <c r="AR4" s="105">
        <f>(I4/'Final insect weight kjg '!$F$21)</f>
        <v>1.6375892149088029</v>
      </c>
      <c r="AS4" s="108">
        <f>AR4/'Final insect weight kjg '!$C$21</f>
        <v>27.071590837057343</v>
      </c>
      <c r="AT4" s="72">
        <f>I4/'Final insect weight kjg '!$F$16</f>
        <v>1.7507418397626116</v>
      </c>
      <c r="AU4" s="114">
        <f>AT4/'Final insect weight kjg '!$C$16</f>
        <v>4376.8545994065289</v>
      </c>
      <c r="AV4" s="72">
        <f>I4/'Final insect weight kjg '!$F$4</f>
        <v>1.645418326693227</v>
      </c>
      <c r="AW4" s="114">
        <f>AV4/'Final insect weight kjg '!$C$4</f>
        <v>10.194661255844034</v>
      </c>
      <c r="AX4" s="104">
        <f>I4/'Final insect weight kjg '!$F$14</f>
        <v>1.7507418397626116</v>
      </c>
      <c r="AY4" s="114">
        <f>AX4/'Final insect weight kjg '!$C$14</f>
        <v>343.28271367894342</v>
      </c>
      <c r="AZ4" s="104">
        <f>I4/'Final insect weight kjg '!$F$15</f>
        <v>1.7507418397626116</v>
      </c>
      <c r="BA4" s="114">
        <f>AZ4/'Final insect weight kjg '!$C$15</f>
        <v>1591.5834906932832</v>
      </c>
      <c r="BB4" s="104">
        <f>'bat Energetic calcs'!I4/'Final insect weight kjg '!$F$28</f>
        <v>1.7316561844863732</v>
      </c>
      <c r="BC4" s="114">
        <f>BB4/'Final insect weight kjg '!$C$28</f>
        <v>28.111301696207356</v>
      </c>
      <c r="BD4" s="104">
        <f>I4/'Final insect weight kjg '!$H$9</f>
        <v>1.8713185319438157</v>
      </c>
      <c r="BE4" s="114">
        <f>BD4/'Final insect weight kjg '!$C$7</f>
        <v>1169.5740824648847</v>
      </c>
      <c r="BF4" s="104">
        <f>I4/'Final insect weight kjg '!$F$12</f>
        <v>2.024509803921569</v>
      </c>
      <c r="BG4" s="114">
        <f>BF4/'Final insect weight kjg '!$C$12</f>
        <v>396.96270665128799</v>
      </c>
    </row>
    <row r="5" spans="1:59" s="24" customFormat="1">
      <c r="A5" s="19" t="s">
        <v>5</v>
      </c>
      <c r="B5" s="20">
        <v>1.87</v>
      </c>
      <c r="C5" s="20">
        <v>0.73199999999999998</v>
      </c>
      <c r="D5" s="20">
        <v>13.8</v>
      </c>
      <c r="E5" s="20">
        <v>10</v>
      </c>
      <c r="F5" s="20">
        <v>20</v>
      </c>
      <c r="G5" s="20">
        <f t="shared" si="5"/>
        <v>2.6246685921631592</v>
      </c>
      <c r="H5" s="20">
        <f t="shared" si="0"/>
        <v>3.7912574094634328</v>
      </c>
      <c r="I5" s="68">
        <v>44.31</v>
      </c>
      <c r="J5" s="20" t="str">
        <f t="shared" si="1"/>
        <v>44.31 (35.01-58.14)</v>
      </c>
      <c r="K5" s="22">
        <v>98</v>
      </c>
      <c r="L5" s="206">
        <f t="shared" si="2"/>
        <v>2.3025850929940459</v>
      </c>
      <c r="M5" s="206">
        <f t="shared" si="6"/>
        <v>3.5554922880716417</v>
      </c>
      <c r="N5" s="207">
        <v>35.01</v>
      </c>
      <c r="O5" s="206">
        <f t="shared" si="3"/>
        <v>2.9957322735539909</v>
      </c>
      <c r="P5" s="206">
        <f t="shared" si="4"/>
        <v>4.0628760242415218</v>
      </c>
      <c r="Q5" s="208">
        <v>58.14</v>
      </c>
      <c r="R5" s="23">
        <v>39.808131246659997</v>
      </c>
      <c r="S5" s="23">
        <v>50.123225328196298</v>
      </c>
      <c r="T5" s="23">
        <v>0.94576815725459296</v>
      </c>
      <c r="U5" s="23">
        <v>0.86392571302985199</v>
      </c>
      <c r="V5" s="23">
        <v>8.2537273500443291</v>
      </c>
      <c r="W5" s="62">
        <f>I5/'Final insect weight kjg '!$F$21</f>
        <v>2.5099127676447273</v>
      </c>
      <c r="X5" s="62">
        <f>W5/'Final insect weight kjg '!$C$21</f>
        <v>41.492292977862711</v>
      </c>
      <c r="Y5" s="63">
        <f>X5*40%</f>
        <v>16.596917191145085</v>
      </c>
      <c r="Z5" s="62">
        <f>I5/'Final insect weight kjg '!$F$25</f>
        <v>2.5099127676447273</v>
      </c>
      <c r="AA5" s="62">
        <f>Z5/'Final insect weight kjg '!$C$25</f>
        <v>171.91183340032379</v>
      </c>
      <c r="AB5" s="63">
        <f>AA5*40%</f>
        <v>68.764733360129512</v>
      </c>
      <c r="AC5" s="62">
        <f>I5/'Final insect weight kjg '!$F$27</f>
        <v>2.6540880503144657</v>
      </c>
      <c r="AD5" s="62">
        <f>AC5/'Final insect weight kjg '!$C$27</f>
        <v>552.93501048218036</v>
      </c>
      <c r="AE5" s="63">
        <f>AD5*50%</f>
        <v>276.46750524109018</v>
      </c>
      <c r="AF5" s="62">
        <f>I5/'Final insect weight kjg '!$F$5</f>
        <v>3.6909620991253651</v>
      </c>
      <c r="AG5" s="62">
        <f>AF5/'Final insect weight kjg '!$C$5</f>
        <v>307.58017492711377</v>
      </c>
      <c r="AH5" s="63">
        <f>AG5*1%</f>
        <v>3.0758017492711378</v>
      </c>
      <c r="AI5" s="62">
        <f>I5/'Final insect weight kjg '!$F$13</f>
        <v>2.6833403984739301</v>
      </c>
      <c r="AJ5" s="62">
        <f>AI5/'Final insect weight kjg '!$C$13</f>
        <v>894.44679949131</v>
      </c>
      <c r="AK5" s="63">
        <f>AJ5*1%</f>
        <v>8.9444679949131007</v>
      </c>
      <c r="AL5" s="62">
        <f>I5/'Final insect weight kjg '!$F$4</f>
        <v>2.5219123505976095</v>
      </c>
      <c r="AM5" s="62">
        <f>AL5/'Final insect weight kjg '!$C$4</f>
        <v>15.625231416342068</v>
      </c>
      <c r="AN5" s="102">
        <f>AM5*8%</f>
        <v>1.2500185133073654</v>
      </c>
      <c r="AO5" s="62"/>
      <c r="AP5" s="103">
        <f>(I5/'Final insect weight kjg '!$F$25)</f>
        <v>2.5099127676447273</v>
      </c>
      <c r="AQ5" s="103">
        <f>AP5/'Final insect weight kjg '!$C$25</f>
        <v>171.91183340032379</v>
      </c>
      <c r="AR5" s="105">
        <f>(I5/'Final insect weight kjg '!$F$21)</f>
        <v>2.5099127676447273</v>
      </c>
      <c r="AS5" s="108">
        <f>AR5/'Final insect weight kjg '!$C$21</f>
        <v>41.492292977862711</v>
      </c>
      <c r="AT5" s="72">
        <f>I5/'Final insect weight kjg '!$F$16</f>
        <v>2.6833403984739301</v>
      </c>
      <c r="AU5" s="114">
        <f>AT5/'Final insect weight kjg '!$C$16</f>
        <v>6708.3509961848249</v>
      </c>
      <c r="AV5" s="72">
        <f>I5/'Final insect weight kjg '!$F$4</f>
        <v>2.5219123505976095</v>
      </c>
      <c r="AW5" s="114">
        <f>AV5/'Final insect weight kjg '!$C$4</f>
        <v>15.625231416342068</v>
      </c>
      <c r="AX5" s="104">
        <f>I5/'Final insect weight kjg '!$F$14</f>
        <v>2.6833403984739301</v>
      </c>
      <c r="AY5" s="114">
        <f>AX5/'Final insect weight kjg '!$C$14</f>
        <v>526.1451761713588</v>
      </c>
      <c r="AZ5" s="104">
        <f>I5/'Final insect weight kjg '!$F$15</f>
        <v>2.6833403984739301</v>
      </c>
      <c r="BA5" s="114">
        <f>AZ5/'Final insect weight kjg '!$C$15</f>
        <v>2439.4003622490272</v>
      </c>
      <c r="BB5" s="104">
        <f>'bat Energetic calcs'!I5/'Final insect weight kjg '!$F$28</f>
        <v>2.6540880503144657</v>
      </c>
      <c r="BC5" s="114">
        <f>BB5/'Final insect weight kjg '!$C$28</f>
        <v>43.085844972637432</v>
      </c>
      <c r="BD5" s="104">
        <f>I5/'Final insect weight kjg '!$H$9</f>
        <v>2.8681468056184873</v>
      </c>
      <c r="BE5" s="114">
        <f>BD5/'Final insect weight kjg '!$C$7</f>
        <v>1792.5917535115545</v>
      </c>
      <c r="BF5" s="104">
        <f>I5/'Final insect weight kjg '!$F$12</f>
        <v>3.1029411764705888</v>
      </c>
      <c r="BG5" s="114">
        <f>BF5/'Final insect weight kjg '!$C$12</f>
        <v>608.41983852364478</v>
      </c>
    </row>
    <row r="6" spans="1:59" s="24" customFormat="1">
      <c r="A6" s="19" t="s">
        <v>6</v>
      </c>
      <c r="B6" s="20">
        <v>1.87</v>
      </c>
      <c r="C6" s="20">
        <v>0.73199999999999998</v>
      </c>
      <c r="D6" s="20">
        <v>8.9</v>
      </c>
      <c r="E6" s="20">
        <v>5.5</v>
      </c>
      <c r="F6" s="20">
        <v>13</v>
      </c>
      <c r="G6" s="20">
        <f t="shared" si="5"/>
        <v>2.1860512767380942</v>
      </c>
      <c r="H6" s="20">
        <f t="shared" si="0"/>
        <v>3.4701895345722851</v>
      </c>
      <c r="I6" s="68">
        <v>32.14</v>
      </c>
      <c r="J6" s="20" t="str">
        <f t="shared" si="1"/>
        <v>32.14 (22.6-42.42)</v>
      </c>
      <c r="K6" s="22">
        <v>4</v>
      </c>
      <c r="L6" s="206">
        <f t="shared" si="2"/>
        <v>1.7047480922384253</v>
      </c>
      <c r="M6" s="206">
        <f t="shared" si="6"/>
        <v>3.1178756035185273</v>
      </c>
      <c r="N6" s="207">
        <v>22.6</v>
      </c>
      <c r="O6" s="206">
        <f t="shared" si="3"/>
        <v>2.5649493574615367</v>
      </c>
      <c r="P6" s="206">
        <f t="shared" si="4"/>
        <v>3.747542929661845</v>
      </c>
      <c r="Q6" s="208">
        <v>42.42</v>
      </c>
      <c r="R6" s="21">
        <v>100</v>
      </c>
      <c r="S6" s="21">
        <v>0</v>
      </c>
      <c r="T6" s="21">
        <v>0</v>
      </c>
      <c r="U6" s="21">
        <v>0</v>
      </c>
      <c r="V6" s="60">
        <v>0</v>
      </c>
      <c r="W6" s="62">
        <f>I6/'Final insect weight kjg '!$F$21</f>
        <v>1.8205505834371818</v>
      </c>
      <c r="X6" s="63">
        <f>W6/'Final insect weight kjg '!$C$21</f>
        <v>30.096192649706779</v>
      </c>
      <c r="Y6" s="57" t="s">
        <v>49</v>
      </c>
      <c r="Z6" s="62">
        <f>I6/'Final insect weight kjg '!$F$25</f>
        <v>1.8205505834371818</v>
      </c>
      <c r="AA6" s="63">
        <f>Z6/'Final insect weight kjg '!$C$25</f>
        <v>124.69524544090287</v>
      </c>
      <c r="AB6" s="57" t="s">
        <v>49</v>
      </c>
      <c r="AC6" s="57" t="s">
        <v>49</v>
      </c>
      <c r="AD6" s="57" t="s">
        <v>49</v>
      </c>
      <c r="AE6" s="57" t="s">
        <v>49</v>
      </c>
      <c r="AF6" s="57" t="s">
        <v>49</v>
      </c>
      <c r="AG6" s="57" t="s">
        <v>49</v>
      </c>
      <c r="AH6" s="57" t="s">
        <v>49</v>
      </c>
      <c r="AI6" s="57" t="s">
        <v>49</v>
      </c>
      <c r="AJ6" s="57" t="s">
        <v>49</v>
      </c>
      <c r="AK6" s="57" t="s">
        <v>49</v>
      </c>
      <c r="AL6" s="57" t="s">
        <v>49</v>
      </c>
      <c r="AM6" s="57" t="s">
        <v>49</v>
      </c>
      <c r="AN6" s="57" t="s">
        <v>49</v>
      </c>
      <c r="AO6" s="57"/>
      <c r="AP6" s="103">
        <f>(I6/'Final insect weight kjg '!$F$25)</f>
        <v>1.8205505834371818</v>
      </c>
      <c r="AQ6" s="103">
        <f>AP6/'Final insect weight kjg '!$C$25</f>
        <v>124.69524544090287</v>
      </c>
      <c r="AR6" s="105">
        <f>(I6/'Final insect weight kjg '!$F$21)</f>
        <v>1.8205505834371818</v>
      </c>
      <c r="AS6" s="108">
        <f>AR6/'Final insect weight kjg '!$C$21</f>
        <v>30.096192649706779</v>
      </c>
      <c r="AT6" s="72">
        <f>I6/'Final insect weight kjg '!$F$16</f>
        <v>1.9463453037001153</v>
      </c>
      <c r="AU6" s="114">
        <f>AT6/'Final insect weight kjg '!$C$16</f>
        <v>4865.8632592502881</v>
      </c>
      <c r="AV6" s="72">
        <f>I6/'Final insect weight kjg '!$F$4</f>
        <v>1.8292544109277178</v>
      </c>
      <c r="AW6" s="114">
        <f>AV6/'Final insect weight kjg '!$C$4</f>
        <v>11.333670451844597</v>
      </c>
      <c r="AX6" s="104">
        <f>I6/'Final insect weight kjg '!$F$14</f>
        <v>1.9463453037001153</v>
      </c>
      <c r="AY6" s="114">
        <f>AX6/'Final insect weight kjg '!$C$14</f>
        <v>381.6363340588461</v>
      </c>
      <c r="AZ6" s="104">
        <f>I6/'Final insect weight kjg '!$F$15</f>
        <v>1.9463453037001153</v>
      </c>
      <c r="BA6" s="114">
        <f>AZ6/'Final insect weight kjg '!$C$15</f>
        <v>1769.4048215455591</v>
      </c>
      <c r="BB6" s="104">
        <f>'bat Energetic calcs'!I6/'Final insect weight kjg '!$F$28</f>
        <v>1.9251272836178497</v>
      </c>
      <c r="BC6" s="114">
        <f>BB6/'Final insect weight kjg '!$C$28</f>
        <v>31.25206629249756</v>
      </c>
      <c r="BD6" s="104">
        <f>I6/'Final insect weight kjg '!$H$9</f>
        <v>2.0803935529807758</v>
      </c>
      <c r="BE6" s="114">
        <f>BD6/'Final insect weight kjg '!$C$7</f>
        <v>1300.2459706129848</v>
      </c>
      <c r="BF6" s="104">
        <f>I6/'Final insect weight kjg '!$F$12</f>
        <v>2.2507002801120453</v>
      </c>
      <c r="BG6" s="114">
        <f>BF6/'Final insect weight kjg '!$C$12</f>
        <v>441.31378041412648</v>
      </c>
    </row>
    <row r="7" spans="1:59" s="24" customFormat="1">
      <c r="A7" s="19" t="s">
        <v>7</v>
      </c>
      <c r="B7" s="20">
        <v>1.87</v>
      </c>
      <c r="C7" s="20">
        <v>0.73199999999999998</v>
      </c>
      <c r="D7" s="20">
        <v>5.7</v>
      </c>
      <c r="E7" s="20">
        <v>4.3</v>
      </c>
      <c r="F7" s="20">
        <v>8</v>
      </c>
      <c r="G7" s="20">
        <f t="shared" si="5"/>
        <v>1.7404661748405046</v>
      </c>
      <c r="H7" s="20">
        <f t="shared" si="0"/>
        <v>3.1440212399832497</v>
      </c>
      <c r="I7" s="68">
        <v>23.2</v>
      </c>
      <c r="J7" s="20" t="str">
        <f t="shared" si="1"/>
        <v>23.2 (18.87-29.73)</v>
      </c>
      <c r="K7" s="22">
        <v>101</v>
      </c>
      <c r="L7" s="206">
        <f t="shared" si="2"/>
        <v>1.4586150226995167</v>
      </c>
      <c r="M7" s="206">
        <f t="shared" si="6"/>
        <v>2.9377061966160465</v>
      </c>
      <c r="N7" s="207">
        <v>18.87</v>
      </c>
      <c r="O7" s="206">
        <f t="shared" si="3"/>
        <v>2.0794415416798357</v>
      </c>
      <c r="P7" s="206">
        <f t="shared" si="4"/>
        <v>3.3921512085096399</v>
      </c>
      <c r="Q7" s="208">
        <v>29.73</v>
      </c>
      <c r="R7" s="21">
        <v>100</v>
      </c>
      <c r="S7" s="21">
        <v>0</v>
      </c>
      <c r="T7" s="21">
        <v>0</v>
      </c>
      <c r="U7" s="21">
        <v>0</v>
      </c>
      <c r="V7" s="60">
        <v>0</v>
      </c>
      <c r="W7" s="62">
        <f>I7/'Final insect weight kjg '!$F$21</f>
        <v>1.3141497677580154</v>
      </c>
      <c r="X7" s="63">
        <f>W7/'Final insect weight kjg '!$C$21</f>
        <v>21.724694134200288</v>
      </c>
      <c r="Y7" s="57" t="s">
        <v>49</v>
      </c>
      <c r="Z7" s="62">
        <f>I7/'Final insect weight kjg '!$F$25</f>
        <v>1.3141497677580154</v>
      </c>
      <c r="AA7" s="63">
        <f>Z7/'Final insect weight kjg '!$C$25</f>
        <v>90.010258065617492</v>
      </c>
      <c r="AB7" s="57" t="s">
        <v>49</v>
      </c>
      <c r="AC7" s="57" t="s">
        <v>49</v>
      </c>
      <c r="AD7" s="57" t="s">
        <v>49</v>
      </c>
      <c r="AE7" s="57" t="s">
        <v>49</v>
      </c>
      <c r="AF7" s="57" t="s">
        <v>49</v>
      </c>
      <c r="AG7" s="57" t="s">
        <v>49</v>
      </c>
      <c r="AH7" s="57" t="s">
        <v>49</v>
      </c>
      <c r="AI7" s="57" t="s">
        <v>49</v>
      </c>
      <c r="AJ7" s="57" t="s">
        <v>49</v>
      </c>
      <c r="AK7" s="57" t="s">
        <v>49</v>
      </c>
      <c r="AL7" s="57" t="s">
        <v>49</v>
      </c>
      <c r="AM7" s="57" t="s">
        <v>49</v>
      </c>
      <c r="AN7" s="57" t="s">
        <v>49</v>
      </c>
      <c r="AO7" s="57"/>
      <c r="AP7" s="103">
        <f>(I7/'Final insect weight kjg '!$F$25)</f>
        <v>1.3141497677580154</v>
      </c>
      <c r="AQ7" s="103">
        <f>AP7/'Final insect weight kjg '!$C$25</f>
        <v>90.010258065617492</v>
      </c>
      <c r="AR7" s="105">
        <f>(I7/'Final insect weight kjg '!$F$21)</f>
        <v>1.3141497677580154</v>
      </c>
      <c r="AS7" s="108">
        <f>AR7/'Final insect weight kjg '!$C$21</f>
        <v>21.724694134200288</v>
      </c>
      <c r="AT7" s="72">
        <f>I7/'Final insect weight kjg '!$F$16</f>
        <v>1.4049536728638043</v>
      </c>
      <c r="AU7" s="114">
        <f>AT7/'Final insect weight kjg '!$C$16</f>
        <v>3512.3841821595106</v>
      </c>
      <c r="AV7" s="72">
        <f>I7/'Final insect weight kjg '!$F$4</f>
        <v>1.3204325554923164</v>
      </c>
      <c r="AW7" s="114">
        <f>AV7/'Final insect weight kjg '!$C$4</f>
        <v>8.1811186833476857</v>
      </c>
      <c r="AX7" s="104">
        <f>I7/'Final insect weight kjg '!$F$14</f>
        <v>1.4049536728638043</v>
      </c>
      <c r="AY7" s="114">
        <f>AX7/'Final insect weight kjg '!$C$14</f>
        <v>275.48111232623614</v>
      </c>
      <c r="AZ7" s="104">
        <f>I7/'Final insect weight kjg '!$F$15</f>
        <v>1.4049536728638043</v>
      </c>
      <c r="BA7" s="114">
        <f>AZ7/'Final insect weight kjg '!$C$15</f>
        <v>1277.2306116943676</v>
      </c>
      <c r="BB7" s="104">
        <f>'bat Energetic calcs'!I7/'Final insect weight kjg '!$F$28</f>
        <v>1.3896376160527104</v>
      </c>
      <c r="BC7" s="114">
        <f>BB7/'Final insect weight kjg '!$C$28</f>
        <v>22.559052208647895</v>
      </c>
      <c r="BD7" s="104">
        <f>I7/'Final insect weight kjg '!$H$9</f>
        <v>1.5017153213800249</v>
      </c>
      <c r="BE7" s="114">
        <f>BD7/'Final insect weight kjg '!$C$7</f>
        <v>938.57207586251559</v>
      </c>
      <c r="BF7" s="104">
        <f>I7/'Final insect weight kjg '!$F$12</f>
        <v>1.6246498599439778</v>
      </c>
      <c r="BG7" s="114">
        <f>BF7/'Final insect weight kjg '!$C$12</f>
        <v>318.55879606744662</v>
      </c>
    </row>
    <row r="8" spans="1:59" s="5" customFormat="1">
      <c r="A8" s="4" t="s">
        <v>8</v>
      </c>
      <c r="B8" s="6">
        <v>1.87</v>
      </c>
      <c r="C8" s="6">
        <v>0.73199999999999998</v>
      </c>
      <c r="D8" s="6">
        <v>14.1</v>
      </c>
      <c r="E8" s="6">
        <v>10.6</v>
      </c>
      <c r="F8" s="6">
        <v>20</v>
      </c>
      <c r="G8" s="6">
        <f t="shared" si="5"/>
        <v>2.6461747973841225</v>
      </c>
      <c r="H8" s="6">
        <f t="shared" si="0"/>
        <v>3.806999951685178</v>
      </c>
      <c r="I8" s="68">
        <v>45.02</v>
      </c>
      <c r="J8" s="6" t="str">
        <f t="shared" si="1"/>
        <v>45.02 (36.53-58.14)</v>
      </c>
      <c r="K8" s="65">
        <v>1</v>
      </c>
      <c r="L8" s="181">
        <f t="shared" si="2"/>
        <v>2.3608540011180215</v>
      </c>
      <c r="M8" s="181">
        <f t="shared" si="6"/>
        <v>3.5981451288183921</v>
      </c>
      <c r="N8" s="204">
        <v>36.53</v>
      </c>
      <c r="O8" s="181">
        <f t="shared" si="3"/>
        <v>2.9957322735539909</v>
      </c>
      <c r="P8" s="181">
        <f t="shared" si="4"/>
        <v>4.0628760242415218</v>
      </c>
      <c r="Q8" s="205">
        <v>58.14</v>
      </c>
      <c r="R8" s="9"/>
      <c r="S8" s="9"/>
      <c r="T8" s="9"/>
      <c r="U8" s="9"/>
      <c r="V8" s="61"/>
      <c r="W8" s="66"/>
      <c r="X8" s="66"/>
      <c r="Y8" s="9"/>
      <c r="Z8" s="66"/>
      <c r="AA8" s="66"/>
      <c r="AB8" s="9"/>
      <c r="AC8" s="9"/>
      <c r="AD8" s="9"/>
      <c r="AE8" s="9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103">
        <f>(I8/'Final insect weight kjg '!$F$25)</f>
        <v>2.5501302820890457</v>
      </c>
      <c r="AQ8" s="103">
        <f>AP8/'Final insect weight kjg '!$C$25</f>
        <v>174.66645767733189</v>
      </c>
      <c r="AR8" s="105">
        <f>(I8/'Final insect weight kjg '!$F$21)</f>
        <v>2.5501302820890457</v>
      </c>
      <c r="AS8" s="108">
        <f>AR8/'Final insect weight kjg '!$C$21</f>
        <v>42.157143531107629</v>
      </c>
      <c r="AT8" s="72">
        <f>I8/'Final insect weight kjg '!$F$16</f>
        <v>2.7263368255314</v>
      </c>
      <c r="AU8" s="114">
        <f>AT8/'Final insect weight kjg '!$C$16</f>
        <v>6815.8420638284997</v>
      </c>
      <c r="AV8" s="72">
        <f>I8/'Final insect weight kjg '!$F$4</f>
        <v>2.5623221400113834</v>
      </c>
      <c r="AW8" s="114">
        <f>AV8/'Final insect weight kjg '!$C$4</f>
        <v>15.87560185880659</v>
      </c>
      <c r="AX8" s="104">
        <f>I8/'Final insect weight kjg '!$F$14</f>
        <v>2.7263368255314</v>
      </c>
      <c r="AY8" s="114">
        <f>AX8/'Final insect weight kjg '!$C$14</f>
        <v>534.57584814341169</v>
      </c>
      <c r="AZ8" s="104">
        <f>I8/'Final insect weight kjg '!$F$15</f>
        <v>2.7263368255314</v>
      </c>
      <c r="BA8" s="114">
        <f>AZ8/'Final insect weight kjg '!$C$15</f>
        <v>2478.4880232103633</v>
      </c>
      <c r="BB8" s="104">
        <f>'bat Energetic calcs'!I8/'Final insect weight kjg '!$F$28</f>
        <v>2.6966157532195267</v>
      </c>
      <c r="BC8" s="114">
        <f>BB8/'Final insect weight kjg '!$C$28</f>
        <v>43.776229760057248</v>
      </c>
      <c r="BD8" s="104">
        <f>I8/'Final insect weight kjg '!$H$9</f>
        <v>2.9141044727814105</v>
      </c>
      <c r="BE8" s="114">
        <f>BD8/'Final insect weight kjg '!$C$7</f>
        <v>1821.3152954883815</v>
      </c>
      <c r="BF8" s="104">
        <f>I8/'Final insect weight kjg '!$F$12</f>
        <v>3.1526610644257711</v>
      </c>
      <c r="BG8" s="114">
        <f>BF8/'Final insect weight kjg '!$C$12</f>
        <v>618.16883616191581</v>
      </c>
    </row>
    <row r="9" spans="1:59" s="5" customFormat="1">
      <c r="A9" s="4" t="s">
        <v>9</v>
      </c>
      <c r="B9" s="6">
        <v>1.87</v>
      </c>
      <c r="C9" s="6">
        <v>0.73199999999999998</v>
      </c>
      <c r="D9" s="6">
        <v>9</v>
      </c>
      <c r="E9" s="6">
        <v>6.3</v>
      </c>
      <c r="F9" s="6">
        <v>11.2</v>
      </c>
      <c r="G9" s="6">
        <f t="shared" si="5"/>
        <v>2.1972245773362196</v>
      </c>
      <c r="H9" s="6">
        <f t="shared" si="0"/>
        <v>3.4783683906101128</v>
      </c>
      <c r="I9" s="68">
        <v>32.409999999999997</v>
      </c>
      <c r="J9" s="6" t="str">
        <f t="shared" si="1"/>
        <v>32.41 (24.96-38.03)</v>
      </c>
      <c r="K9" s="65">
        <v>43</v>
      </c>
      <c r="L9" s="181">
        <f t="shared" si="2"/>
        <v>1.8405496333974869</v>
      </c>
      <c r="M9" s="181">
        <f t="shared" si="6"/>
        <v>3.2172823316469605</v>
      </c>
      <c r="N9" s="204">
        <v>24.96</v>
      </c>
      <c r="O9" s="181">
        <f t="shared" si="3"/>
        <v>2.4159137783010487</v>
      </c>
      <c r="P9" s="181">
        <f t="shared" si="4"/>
        <v>3.6384488857163677</v>
      </c>
      <c r="Q9" s="205">
        <v>38.03</v>
      </c>
      <c r="R9" s="9"/>
      <c r="S9" s="9"/>
      <c r="T9" s="9"/>
      <c r="U9" s="9"/>
      <c r="V9" s="9"/>
      <c r="W9" s="66"/>
      <c r="X9" s="66"/>
      <c r="Y9" s="9"/>
      <c r="Z9" s="66"/>
      <c r="AA9" s="66"/>
      <c r="AB9" s="9"/>
      <c r="AC9" s="9"/>
      <c r="AD9" s="9"/>
      <c r="AE9" s="9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103">
        <f>(I9/'Final insect weight kjg '!$F$25)</f>
        <v>1.8358445678033308</v>
      </c>
      <c r="AQ9" s="103">
        <f>AP9/'Final insect weight kjg '!$C$25</f>
        <v>125.7427786166665</v>
      </c>
      <c r="AR9" s="105">
        <f>(I9/'Final insect weight kjg '!$F$21)</f>
        <v>1.8358445678033308</v>
      </c>
      <c r="AS9" s="108">
        <f>AR9/'Final insect weight kjg '!$C$21</f>
        <v>30.349023141785832</v>
      </c>
      <c r="AT9" s="72">
        <f>I9/'Final insect weight kjg '!$F$16</f>
        <v>1.9626960576515473</v>
      </c>
      <c r="AU9" s="114">
        <f>AT9/'Final insect weight kjg '!$C$16</f>
        <v>4906.7401441288685</v>
      </c>
      <c r="AV9" s="72">
        <f>I9/'Final insect weight kjg '!$F$4</f>
        <v>1.8446215139442228</v>
      </c>
      <c r="AW9" s="114">
        <f>AV9/'Final insect weight kjg '!$C$4</f>
        <v>11.428881746866313</v>
      </c>
      <c r="AX9" s="104">
        <f>I9/'Final insect weight kjg '!$F$14</f>
        <v>1.9626960576515473</v>
      </c>
      <c r="AY9" s="114">
        <f>AX9/'Final insect weight kjg '!$C$14</f>
        <v>384.84236424540143</v>
      </c>
      <c r="AZ9" s="104">
        <f>I9/'Final insect weight kjg '!$F$15</f>
        <v>1.9626960576515473</v>
      </c>
      <c r="BA9" s="114">
        <f>AZ9/'Final insect weight kjg '!$C$15</f>
        <v>1784.2691433195885</v>
      </c>
      <c r="BB9" s="104">
        <f>'bat Energetic calcs'!I9/'Final insect weight kjg '!$F$28</f>
        <v>1.941299790356394</v>
      </c>
      <c r="BC9" s="114">
        <f>BB9/'Final insect weight kjg '!$C$28</f>
        <v>31.514606986305097</v>
      </c>
      <c r="BD9" s="104">
        <f>I9/'Final insect weight kjg '!$H$9</f>
        <v>2.0978704123244225</v>
      </c>
      <c r="BE9" s="114">
        <f>BD9/'Final insect weight kjg '!$C$7</f>
        <v>1311.169007702764</v>
      </c>
      <c r="BF9" s="104">
        <f>I9/'Final insect weight kjg '!$F$12</f>
        <v>2.2696078431372548</v>
      </c>
      <c r="BG9" s="114">
        <f>BF9/'Final insect weight kjg '!$C$12</f>
        <v>445.0211457131872</v>
      </c>
    </row>
    <row r="10" spans="1:59" s="5" customFormat="1">
      <c r="A10" s="4" t="s">
        <v>10</v>
      </c>
      <c r="B10" s="6">
        <v>1.87</v>
      </c>
      <c r="C10" s="6">
        <v>0.73199999999999998</v>
      </c>
      <c r="D10" s="6">
        <v>9.1</v>
      </c>
      <c r="E10" s="6">
        <v>6.9</v>
      </c>
      <c r="F10" s="6">
        <v>11.3</v>
      </c>
      <c r="G10" s="6">
        <f t="shared" si="5"/>
        <v>2.2082744135228043</v>
      </c>
      <c r="H10" s="6">
        <f t="shared" si="0"/>
        <v>3.4864568706986931</v>
      </c>
      <c r="I10" s="68">
        <v>32.67</v>
      </c>
      <c r="J10" s="6" t="str">
        <f t="shared" si="1"/>
        <v>32.67 (26.68-38.28)</v>
      </c>
      <c r="K10" s="65">
        <v>325</v>
      </c>
      <c r="L10" s="181">
        <f t="shared" si="2"/>
        <v>1.9315214116032138</v>
      </c>
      <c r="M10" s="181">
        <f t="shared" si="6"/>
        <v>3.2838736732935523</v>
      </c>
      <c r="N10" s="204">
        <v>26.68</v>
      </c>
      <c r="O10" s="181">
        <f t="shared" si="3"/>
        <v>2.4248027257182949</v>
      </c>
      <c r="P10" s="181">
        <f t="shared" si="4"/>
        <v>3.6449555952257917</v>
      </c>
      <c r="Q10" s="205">
        <v>38.28</v>
      </c>
      <c r="R10" s="9"/>
      <c r="S10" s="9"/>
      <c r="T10" s="9"/>
      <c r="U10" s="9"/>
      <c r="V10" s="9"/>
      <c r="W10" s="66"/>
      <c r="X10" s="66"/>
      <c r="Y10" s="9"/>
      <c r="Z10" s="66"/>
      <c r="AA10" s="66"/>
      <c r="AB10" s="9"/>
      <c r="AC10" s="9"/>
      <c r="AD10" s="9"/>
      <c r="AE10" s="9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103">
        <f>(I10/'Final insect weight kjg '!$F$25)</f>
        <v>1.8505721083040676</v>
      </c>
      <c r="AQ10" s="103">
        <f>AP10/'Final insect weight kjg '!$C$25</f>
        <v>126.75151426740189</v>
      </c>
      <c r="AR10" s="105">
        <f>(I10/'Final insect weight kjg '!$F$21)</f>
        <v>1.8505721083040676</v>
      </c>
      <c r="AS10" s="108">
        <f>AR10/'Final insect weight kjg '!$C$21</f>
        <v>30.592489541565666</v>
      </c>
      <c r="AT10" s="72">
        <f>I10/'Final insect weight kjg '!$F$16</f>
        <v>1.978441228123297</v>
      </c>
      <c r="AU10" s="114">
        <f>AT10/'Final insect weight kjg '!$C$16</f>
        <v>4946.1030703082424</v>
      </c>
      <c r="AV10" s="72">
        <f>I10/'Final insect weight kjg '!$F$4</f>
        <v>1.8594194649971543</v>
      </c>
      <c r="AW10" s="114">
        <f>AV10/'Final insect weight kjg '!$C$4</f>
        <v>11.52056669762797</v>
      </c>
      <c r="AX10" s="104">
        <f>I10/'Final insect weight kjg '!$F$14</f>
        <v>1.978441228123297</v>
      </c>
      <c r="AY10" s="114">
        <f>AX10/'Final insect weight kjg '!$C$14</f>
        <v>387.92965257319548</v>
      </c>
      <c r="AZ10" s="104">
        <f>I10/'Final insect weight kjg '!$F$15</f>
        <v>1.978441228123297</v>
      </c>
      <c r="BA10" s="114">
        <f>AZ10/'Final insect weight kjg '!$C$15</f>
        <v>1798.5829346575426</v>
      </c>
      <c r="BB10" s="104">
        <f>'bat Energetic calcs'!I10/'Final insect weight kjg '!$F$28</f>
        <v>1.9568733153638815</v>
      </c>
      <c r="BC10" s="114">
        <f>BB10/'Final insect weight kjg '!$C$28</f>
        <v>31.767423950712363</v>
      </c>
      <c r="BD10" s="104">
        <f>I10/'Final insect weight kjg '!$H$9</f>
        <v>2.1146999805812681</v>
      </c>
      <c r="BE10" s="114">
        <f>BD10/'Final insect weight kjg '!$C$7</f>
        <v>1321.6874878632925</v>
      </c>
      <c r="BF10" s="104">
        <f>I10/'Final insect weight kjg '!$F$12</f>
        <v>2.2878151260504205</v>
      </c>
      <c r="BG10" s="114">
        <f>BF10/'Final insect weight kjg '!$C$12</f>
        <v>448.5912011863569</v>
      </c>
    </row>
    <row r="11" spans="1:59" s="5" customFormat="1">
      <c r="A11" s="4" t="s">
        <v>11</v>
      </c>
      <c r="B11" s="6">
        <v>1.87</v>
      </c>
      <c r="C11" s="6">
        <v>0.73199999999999998</v>
      </c>
      <c r="D11" s="6">
        <v>9</v>
      </c>
      <c r="E11" s="6">
        <v>6.8</v>
      </c>
      <c r="F11" s="6">
        <v>13</v>
      </c>
      <c r="G11" s="6">
        <f t="shared" si="5"/>
        <v>2.1972245773362196</v>
      </c>
      <c r="H11" s="6">
        <f t="shared" si="0"/>
        <v>3.4783683906101128</v>
      </c>
      <c r="I11" s="68">
        <v>32.409999999999997</v>
      </c>
      <c r="J11" s="6" t="str">
        <f t="shared" si="1"/>
        <v>32.41 (26.4-42.42)</v>
      </c>
      <c r="K11" s="65">
        <v>22</v>
      </c>
      <c r="L11" s="181">
        <f t="shared" si="2"/>
        <v>1.9169226121820611</v>
      </c>
      <c r="M11" s="181">
        <f t="shared" si="6"/>
        <v>3.2731873521172687</v>
      </c>
      <c r="N11" s="204">
        <v>26.4</v>
      </c>
      <c r="O11" s="181">
        <f t="shared" si="3"/>
        <v>2.5649493574615367</v>
      </c>
      <c r="P11" s="181">
        <f t="shared" si="4"/>
        <v>3.747542929661845</v>
      </c>
      <c r="Q11" s="205">
        <v>42.42</v>
      </c>
      <c r="R11" s="9"/>
      <c r="S11" s="9"/>
      <c r="T11" s="9"/>
      <c r="U11" s="9"/>
      <c r="V11" s="9"/>
      <c r="W11" s="66"/>
      <c r="X11" s="66"/>
      <c r="Y11" s="9"/>
      <c r="Z11" s="66"/>
      <c r="AA11" s="66"/>
      <c r="AB11" s="9"/>
      <c r="AC11" s="9"/>
      <c r="AD11" s="9"/>
      <c r="AE11" s="9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103">
        <f>(I11/'Final insect weight kjg '!$F$25)</f>
        <v>1.8358445678033308</v>
      </c>
      <c r="AQ11" s="103">
        <f>AP11/'Final insect weight kjg '!$C$25</f>
        <v>125.7427786166665</v>
      </c>
      <c r="AR11" s="105">
        <f>(I11/'Final insect weight kjg '!$F$21)</f>
        <v>1.8358445678033308</v>
      </c>
      <c r="AS11" s="108">
        <f>AR11/'Final insect weight kjg '!$C$21</f>
        <v>30.349023141785832</v>
      </c>
      <c r="AT11" s="72">
        <f>I11/'Final insect weight kjg '!$F$16</f>
        <v>1.9626960576515473</v>
      </c>
      <c r="AU11" s="114">
        <f>AT11/'Final insect weight kjg '!$C$16</f>
        <v>4906.7401441288685</v>
      </c>
      <c r="AV11" s="72">
        <f>I11/'Final insect weight kjg '!$F$4</f>
        <v>1.8446215139442228</v>
      </c>
      <c r="AW11" s="114">
        <f>AV11/'Final insect weight kjg '!$C$4</f>
        <v>11.428881746866313</v>
      </c>
      <c r="AX11" s="104">
        <f>I11/'Final insect weight kjg '!$F$14</f>
        <v>1.9626960576515473</v>
      </c>
      <c r="AY11" s="114">
        <f>AX11/'Final insect weight kjg '!$C$14</f>
        <v>384.84236424540143</v>
      </c>
      <c r="AZ11" s="104">
        <f>I11/'Final insect weight kjg '!$F$15</f>
        <v>1.9626960576515473</v>
      </c>
      <c r="BA11" s="114">
        <f>AZ11/'Final insect weight kjg '!$C$15</f>
        <v>1784.2691433195885</v>
      </c>
      <c r="BB11" s="104">
        <f>'bat Energetic calcs'!I11/'Final insect weight kjg '!$F$28</f>
        <v>1.941299790356394</v>
      </c>
      <c r="BC11" s="114">
        <f>BB11/'Final insect weight kjg '!$C$28</f>
        <v>31.514606986305097</v>
      </c>
      <c r="BD11" s="104">
        <f>I11/'Final insect weight kjg '!$H$9</f>
        <v>2.0978704123244225</v>
      </c>
      <c r="BE11" s="114">
        <f>BD11/'Final insect weight kjg '!$C$7</f>
        <v>1311.169007702764</v>
      </c>
      <c r="BF11" s="104">
        <f>I11/'Final insect weight kjg '!$F$12</f>
        <v>2.2696078431372548</v>
      </c>
      <c r="BG11" s="114">
        <f>BF11/'Final insect weight kjg '!$C$12</f>
        <v>445.0211457131872</v>
      </c>
    </row>
    <row r="12" spans="1:59" s="5" customFormat="1">
      <c r="A12" s="4" t="s">
        <v>12</v>
      </c>
      <c r="B12" s="6">
        <v>1.87</v>
      </c>
      <c r="C12" s="6">
        <v>0.73199999999999998</v>
      </c>
      <c r="D12" s="6">
        <v>14.6</v>
      </c>
      <c r="E12" s="6">
        <v>12</v>
      </c>
      <c r="F12" s="6">
        <v>18</v>
      </c>
      <c r="G12" s="6">
        <f t="shared" si="5"/>
        <v>2.6810215287142909</v>
      </c>
      <c r="H12" s="6">
        <f t="shared" si="0"/>
        <v>3.8325077590188608</v>
      </c>
      <c r="I12" s="68">
        <v>46.18</v>
      </c>
      <c r="J12" s="6" t="str">
        <f t="shared" si="1"/>
        <v>46.18 (40-53.83)</v>
      </c>
      <c r="K12" s="65" t="s">
        <v>49</v>
      </c>
      <c r="L12" s="181">
        <f t="shared" si="2"/>
        <v>2.4849066497880004</v>
      </c>
      <c r="M12" s="181">
        <f t="shared" si="6"/>
        <v>3.6889516676448162</v>
      </c>
      <c r="N12" s="204">
        <v>40</v>
      </c>
      <c r="O12" s="181">
        <f t="shared" si="3"/>
        <v>2.8903717578961645</v>
      </c>
      <c r="P12" s="181">
        <f t="shared" si="4"/>
        <v>3.9857521267799925</v>
      </c>
      <c r="Q12" s="205">
        <v>53.83</v>
      </c>
      <c r="R12" s="9"/>
      <c r="S12" s="9"/>
      <c r="T12" s="9"/>
      <c r="U12" s="9"/>
      <c r="V12" s="9"/>
      <c r="W12" s="66"/>
      <c r="X12" s="66"/>
      <c r="Y12" s="9"/>
      <c r="Z12" s="66"/>
      <c r="AA12" s="66"/>
      <c r="AB12" s="9"/>
      <c r="AC12" s="9"/>
      <c r="AD12" s="9"/>
      <c r="AE12" s="9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103">
        <f>(I12/'Final insect weight kjg '!$F$25)</f>
        <v>2.6158377704769462</v>
      </c>
      <c r="AQ12" s="103">
        <f>AP12/'Final insect weight kjg '!$C$25</f>
        <v>179.16697058061274</v>
      </c>
      <c r="AR12" s="105">
        <f>(I12/'Final insect weight kjg '!$F$21)</f>
        <v>2.6158377704769462</v>
      </c>
      <c r="AS12" s="108">
        <f>AR12/'Final insect weight kjg '!$C$21</f>
        <v>43.243378237817645</v>
      </c>
      <c r="AT12" s="72">
        <f>I12/'Final insect weight kjg '!$F$16</f>
        <v>2.7965845091745902</v>
      </c>
      <c r="AU12" s="114">
        <f>AT12/'Final insect weight kjg '!$C$16</f>
        <v>6991.4612729364753</v>
      </c>
      <c r="AV12" s="72">
        <f>I12/'Final insect weight kjg '!$F$4</f>
        <v>2.6283437677859989</v>
      </c>
      <c r="AW12" s="114">
        <f>AV12/'Final insect weight kjg '!$C$4</f>
        <v>16.28465779297397</v>
      </c>
      <c r="AX12" s="104">
        <f>I12/'Final insect weight kjg '!$F$14</f>
        <v>2.7965845091745902</v>
      </c>
      <c r="AY12" s="114">
        <f>AX12/'Final insect weight kjg '!$C$14</f>
        <v>548.34990375972359</v>
      </c>
      <c r="AZ12" s="104">
        <f>I12/'Final insect weight kjg '!$F$15</f>
        <v>2.7965845091745902</v>
      </c>
      <c r="BA12" s="114">
        <f>AZ12/'Final insect weight kjg '!$C$15</f>
        <v>2542.3495537950816</v>
      </c>
      <c r="BB12" s="104">
        <f>'bat Energetic calcs'!I12/'Final insect weight kjg '!$F$28</f>
        <v>2.7660976340221621</v>
      </c>
      <c r="BC12" s="114">
        <f>BB12/'Final insect weight kjg '!$C$28</f>
        <v>44.904182370489643</v>
      </c>
      <c r="BD12" s="104">
        <f>I12/'Final insect weight kjg '!$H$9</f>
        <v>2.9891902388504117</v>
      </c>
      <c r="BE12" s="114">
        <f>BD12/'Final insect weight kjg '!$C$7</f>
        <v>1868.2438992815073</v>
      </c>
      <c r="BF12" s="104">
        <f>I12/'Final insect weight kjg '!$F$12</f>
        <v>3.2338935574229697</v>
      </c>
      <c r="BG12" s="114">
        <f>BF12/'Final insect weight kjg '!$C$12</f>
        <v>634.09677596528809</v>
      </c>
    </row>
    <row r="13" spans="1:59" s="5" customFormat="1">
      <c r="A13" s="4" t="s">
        <v>13</v>
      </c>
      <c r="B13" s="6">
        <v>1.87</v>
      </c>
      <c r="C13" s="6">
        <v>0.73199999999999998</v>
      </c>
      <c r="D13" s="6">
        <v>44</v>
      </c>
      <c r="E13" s="6">
        <v>27.8</v>
      </c>
      <c r="F13" s="6">
        <v>60</v>
      </c>
      <c r="G13" s="6">
        <f t="shared" si="5"/>
        <v>3.784189633918261</v>
      </c>
      <c r="H13" s="6">
        <f t="shared" si="0"/>
        <v>4.6400268120281671</v>
      </c>
      <c r="I13" s="68">
        <v>103.55</v>
      </c>
      <c r="J13" s="6" t="str">
        <f t="shared" si="1"/>
        <v>103.55 (73.99-129.94)</v>
      </c>
      <c r="K13" s="65">
        <v>3</v>
      </c>
      <c r="L13" s="181">
        <f t="shared" si="2"/>
        <v>3.3250360206965914</v>
      </c>
      <c r="M13" s="181">
        <f t="shared" si="6"/>
        <v>4.3039263671499048</v>
      </c>
      <c r="N13" s="204">
        <v>73.989999999999995</v>
      </c>
      <c r="O13" s="181">
        <f t="shared" si="3"/>
        <v>4.0943445622221004</v>
      </c>
      <c r="P13" s="181">
        <f t="shared" si="4"/>
        <v>4.8670602195465777</v>
      </c>
      <c r="Q13" s="205">
        <v>129.94</v>
      </c>
      <c r="R13" s="9"/>
      <c r="S13" s="9"/>
      <c r="T13" s="9"/>
      <c r="U13" s="9"/>
      <c r="V13" s="9"/>
      <c r="W13" s="66"/>
      <c r="X13" s="66"/>
      <c r="Y13" s="9"/>
      <c r="Z13" s="66"/>
      <c r="AA13" s="66"/>
      <c r="AB13" s="9"/>
      <c r="AC13" s="9"/>
      <c r="AD13" s="9"/>
      <c r="AE13" s="9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103">
        <f>(I13/'Final insect weight kjg '!$F$25)</f>
        <v>5.86552622635097</v>
      </c>
      <c r="AQ13" s="103">
        <f>AP13/'Final insect weight kjg '!$C$25</f>
        <v>401.74837166787466</v>
      </c>
      <c r="AR13" s="105">
        <f>(I13/'Final insect weight kjg '!$F$21)</f>
        <v>5.86552622635097</v>
      </c>
      <c r="AS13" s="108">
        <f>AR13/'Final insect weight kjg '!$C$21</f>
        <v>96.96517575846724</v>
      </c>
      <c r="AT13" s="72">
        <f>I13/'Final insect weight kjg '!$F$16</f>
        <v>6.2708169321140925</v>
      </c>
      <c r="AU13" s="114">
        <f>AT13/'Final insect weight kjg '!$C$16</f>
        <v>15677.04233028523</v>
      </c>
      <c r="AV13" s="72">
        <f>I13/'Final insect weight kjg '!$F$4</f>
        <v>5.8935685828116107</v>
      </c>
      <c r="AW13" s="114">
        <f>AV13/'Final insect weight kjg '!$C$4</f>
        <v>36.515294812959176</v>
      </c>
      <c r="AX13" s="104">
        <f>I13/'Final insect weight kjg '!$F$14</f>
        <v>6.2708169321140925</v>
      </c>
      <c r="AY13" s="114">
        <f>AX13/'Final insect weight kjg '!$C$14</f>
        <v>1229.5719474733514</v>
      </c>
      <c r="AZ13" s="104">
        <f>I13/'Final insect weight kjg '!$F$15</f>
        <v>6.2708169321140925</v>
      </c>
      <c r="BA13" s="114">
        <f>AZ13/'Final insect weight kjg '!$C$15</f>
        <v>5700.7426655582658</v>
      </c>
      <c r="BB13" s="104">
        <f>'bat Energetic calcs'!I13/'Final insect weight kjg '!$F$28</f>
        <v>6.2024558250973341</v>
      </c>
      <c r="BC13" s="114">
        <f>BB13/'Final insect weight kjg '!$C$28</f>
        <v>100.68921793989179</v>
      </c>
      <c r="BD13" s="104">
        <f>I13/'Final insect weight kjg '!$H$9</f>
        <v>6.7026992038319646</v>
      </c>
      <c r="BE13" s="114">
        <f>BD13/'Final insect weight kjg '!$C$7</f>
        <v>4189.1870023949778</v>
      </c>
      <c r="BF13" s="104">
        <f>I13/'Final insect weight kjg '!$F$12</f>
        <v>7.2514005602240905</v>
      </c>
      <c r="BG13" s="114">
        <f>BF13/'Final insect weight kjg '!$C$12</f>
        <v>1421.8432471027627</v>
      </c>
    </row>
    <row r="14" spans="1:59" s="5" customFormat="1">
      <c r="A14" s="4" t="s">
        <v>14</v>
      </c>
      <c r="B14" s="6">
        <v>1.87</v>
      </c>
      <c r="C14" s="6">
        <v>0.73199999999999998</v>
      </c>
      <c r="D14" s="6">
        <v>9.3000000000000007</v>
      </c>
      <c r="E14" s="6">
        <v>7</v>
      </c>
      <c r="F14" s="6">
        <v>14.1</v>
      </c>
      <c r="G14" s="6">
        <f t="shared" si="5"/>
        <v>2.2300144001592104</v>
      </c>
      <c r="H14" s="6">
        <f t="shared" si="0"/>
        <v>3.5023705409165418</v>
      </c>
      <c r="I14" s="68">
        <v>33.19</v>
      </c>
      <c r="J14" s="6" t="str">
        <f t="shared" si="1"/>
        <v>33.19 (26.96-45.02)</v>
      </c>
      <c r="K14" s="65">
        <v>12</v>
      </c>
      <c r="L14" s="181">
        <f t="shared" si="2"/>
        <v>1.9459101490553132</v>
      </c>
      <c r="M14" s="181">
        <f t="shared" si="6"/>
        <v>3.2944062291084895</v>
      </c>
      <c r="N14" s="204">
        <v>26.96</v>
      </c>
      <c r="O14" s="181">
        <f t="shared" si="3"/>
        <v>2.6461747973841225</v>
      </c>
      <c r="P14" s="181">
        <f t="shared" si="4"/>
        <v>3.806999951685178</v>
      </c>
      <c r="Q14" s="205">
        <v>45.02</v>
      </c>
      <c r="R14" s="9"/>
      <c r="S14" s="9"/>
      <c r="T14" s="9"/>
      <c r="U14" s="9"/>
      <c r="V14" s="9"/>
      <c r="W14" s="66"/>
      <c r="X14" s="66"/>
      <c r="Y14" s="9"/>
      <c r="Z14" s="66"/>
      <c r="AA14" s="66"/>
      <c r="AB14" s="9"/>
      <c r="AC14" s="9"/>
      <c r="AD14" s="9"/>
      <c r="AE14" s="9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103">
        <f>(I14/'Final insect weight kjg '!$F$25)</f>
        <v>1.88002718930554</v>
      </c>
      <c r="AQ14" s="103">
        <f>AP14/'Final insect weight kjg '!$C$25</f>
        <v>128.76898556887261</v>
      </c>
      <c r="AR14" s="105">
        <f>(I14/'Final insect weight kjg '!$F$21)</f>
        <v>1.88002718930554</v>
      </c>
      <c r="AS14" s="108">
        <f>AR14/'Final insect weight kjg '!$C$21</f>
        <v>31.079422341125323</v>
      </c>
      <c r="AT14" s="72">
        <f>I14/'Final insect weight kjg '!$F$16</f>
        <v>2.0099315690667958</v>
      </c>
      <c r="AU14" s="114">
        <f>AT14/'Final insect weight kjg '!$C$16</f>
        <v>5024.8289226669895</v>
      </c>
      <c r="AV14" s="72">
        <f>I14/'Final insect weight kjg '!$F$4</f>
        <v>1.8890153671030163</v>
      </c>
      <c r="AW14" s="114">
        <f>AV14/'Final insect weight kjg '!$C$4</f>
        <v>11.703936599151278</v>
      </c>
      <c r="AX14" s="104">
        <f>I14/'Final insect weight kjg '!$F$14</f>
        <v>2.0099315690667958</v>
      </c>
      <c r="AY14" s="114">
        <f>AX14/'Final insect weight kjg '!$C$14</f>
        <v>394.10422922878348</v>
      </c>
      <c r="AZ14" s="104">
        <f>I14/'Final insect weight kjg '!$F$15</f>
        <v>2.0099315690667958</v>
      </c>
      <c r="BA14" s="114">
        <f>AZ14/'Final insect weight kjg '!$C$15</f>
        <v>1827.2105173334505</v>
      </c>
      <c r="BB14" s="104">
        <f>'bat Energetic calcs'!I14/'Final insect weight kjg '!$F$28</f>
        <v>1.9880203653788557</v>
      </c>
      <c r="BC14" s="114">
        <f>BB14/'Final insect weight kjg '!$C$28</f>
        <v>32.273057879526881</v>
      </c>
      <c r="BD14" s="104">
        <f>I14/'Final insect weight kjg '!$H$9</f>
        <v>2.1483591170949579</v>
      </c>
      <c r="BE14" s="114">
        <f>BD14/'Final insect weight kjg '!$C$7</f>
        <v>1342.7244481843486</v>
      </c>
      <c r="BF14" s="104">
        <f>I14/'Final insect weight kjg '!$F$12</f>
        <v>2.3242296918767509</v>
      </c>
      <c r="BG14" s="114">
        <f>BF14/'Final insect weight kjg '!$C$12</f>
        <v>455.73131213269625</v>
      </c>
    </row>
    <row r="15" spans="1:59" s="5" customFormat="1">
      <c r="A15" s="4" t="s">
        <v>15</v>
      </c>
      <c r="B15" s="6">
        <v>1.87</v>
      </c>
      <c r="C15" s="6">
        <v>0.73199999999999998</v>
      </c>
      <c r="D15" s="6">
        <v>9.3000000000000007</v>
      </c>
      <c r="E15" s="6">
        <v>6.3</v>
      </c>
      <c r="F15" s="6">
        <v>12.7</v>
      </c>
      <c r="G15" s="6">
        <f t="shared" si="5"/>
        <v>2.2300144001592104</v>
      </c>
      <c r="H15" s="6">
        <f t="shared" si="0"/>
        <v>3.5023705409165418</v>
      </c>
      <c r="I15" s="68">
        <v>33.19</v>
      </c>
      <c r="J15" s="6" t="str">
        <f t="shared" si="1"/>
        <v>33.19 (24.96-41.7)</v>
      </c>
      <c r="K15" s="65">
        <v>181</v>
      </c>
      <c r="L15" s="181">
        <f t="shared" si="2"/>
        <v>1.8405496333974869</v>
      </c>
      <c r="M15" s="181">
        <f t="shared" si="6"/>
        <v>3.2172823316469605</v>
      </c>
      <c r="N15" s="204">
        <v>24.96</v>
      </c>
      <c r="O15" s="181">
        <f t="shared" si="3"/>
        <v>2.5416019934645457</v>
      </c>
      <c r="P15" s="181">
        <f t="shared" si="4"/>
        <v>3.7304526592160476</v>
      </c>
      <c r="Q15" s="205">
        <v>41.7</v>
      </c>
      <c r="R15" s="9"/>
      <c r="S15" s="9"/>
      <c r="T15" s="9"/>
      <c r="U15" s="9"/>
      <c r="V15" s="9"/>
      <c r="W15" s="66"/>
      <c r="X15" s="66"/>
      <c r="Y15" s="9"/>
      <c r="Z15" s="66"/>
      <c r="AA15" s="66"/>
      <c r="AB15" s="9"/>
      <c r="AC15" s="9"/>
      <c r="AD15" s="9"/>
      <c r="AE15" s="9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103">
        <f>(I15/'Final insect weight kjg '!$F$25)</f>
        <v>1.88002718930554</v>
      </c>
      <c r="AQ15" s="103">
        <f>AP15/'Final insect weight kjg '!$C$25</f>
        <v>128.76898556887261</v>
      </c>
      <c r="AR15" s="105">
        <f>(I15/'Final insect weight kjg '!$F$21)</f>
        <v>1.88002718930554</v>
      </c>
      <c r="AS15" s="108">
        <f>AR15/'Final insect weight kjg '!$C$21</f>
        <v>31.079422341125323</v>
      </c>
      <c r="AT15" s="72">
        <f>I15/'Final insect weight kjg '!$F$16</f>
        <v>2.0099315690667958</v>
      </c>
      <c r="AU15" s="114">
        <f>AT15/'Final insect weight kjg '!$C$16</f>
        <v>5024.8289226669895</v>
      </c>
      <c r="AV15" s="72">
        <f>I15/'Final insect weight kjg '!$F$4</f>
        <v>1.8890153671030163</v>
      </c>
      <c r="AW15" s="114">
        <f>AV15/'Final insect weight kjg '!$C$4</f>
        <v>11.703936599151278</v>
      </c>
      <c r="AX15" s="104">
        <f>I15/'Final insect weight kjg '!$F$14</f>
        <v>2.0099315690667958</v>
      </c>
      <c r="AY15" s="114">
        <f>AX15/'Final insect weight kjg '!$C$14</f>
        <v>394.10422922878348</v>
      </c>
      <c r="AZ15" s="104">
        <f>I15/'Final insect weight kjg '!$F$15</f>
        <v>2.0099315690667958</v>
      </c>
      <c r="BA15" s="114">
        <f>AZ15/'Final insect weight kjg '!$C$15</f>
        <v>1827.2105173334505</v>
      </c>
      <c r="BB15" s="104">
        <f>'bat Energetic calcs'!I15/'Final insect weight kjg '!$F$28</f>
        <v>1.9880203653788557</v>
      </c>
      <c r="BC15" s="114">
        <f>BB15/'Final insect weight kjg '!$C$28</f>
        <v>32.273057879526881</v>
      </c>
      <c r="BD15" s="104">
        <f>I15/'Final insect weight kjg '!$H$9</f>
        <v>2.1483591170949579</v>
      </c>
      <c r="BE15" s="114">
        <f>BD15/'Final insect weight kjg '!$C$7</f>
        <v>1342.7244481843486</v>
      </c>
      <c r="BF15" s="104">
        <f>I15/'Final insect weight kjg '!$F$12</f>
        <v>2.3242296918767509</v>
      </c>
      <c r="BG15" s="114">
        <f>BF15/'Final insect weight kjg '!$C$12</f>
        <v>455.73131213269625</v>
      </c>
    </row>
    <row r="16" spans="1:59" s="24" customFormat="1">
      <c r="A16" s="19" t="s">
        <v>16</v>
      </c>
      <c r="B16" s="20">
        <v>1.87</v>
      </c>
      <c r="C16" s="20">
        <v>0.73199999999999998</v>
      </c>
      <c r="D16" s="20">
        <v>4.5999999999999996</v>
      </c>
      <c r="E16" s="20">
        <v>3.6</v>
      </c>
      <c r="F16" s="20">
        <v>5.6</v>
      </c>
      <c r="G16" s="20">
        <f t="shared" si="5"/>
        <v>1.5260563034950492</v>
      </c>
      <c r="H16" s="20">
        <f t="shared" si="0"/>
        <v>2.987073214158376</v>
      </c>
      <c r="I16" s="68">
        <v>19.829999999999998</v>
      </c>
      <c r="J16" s="20" t="str">
        <f t="shared" si="1"/>
        <v>19.83 (16.57-22.9)</v>
      </c>
      <c r="K16" s="22" t="s">
        <v>49</v>
      </c>
      <c r="L16" s="206">
        <f t="shared" si="2"/>
        <v>1.2809338454620642</v>
      </c>
      <c r="M16" s="206">
        <f t="shared" si="6"/>
        <v>2.8076435748782309</v>
      </c>
      <c r="N16" s="207">
        <v>16.57</v>
      </c>
      <c r="O16" s="206">
        <f t="shared" si="3"/>
        <v>1.7227665977411035</v>
      </c>
      <c r="P16" s="206">
        <f t="shared" si="4"/>
        <v>3.1310651495464876</v>
      </c>
      <c r="Q16" s="208">
        <v>22.9</v>
      </c>
      <c r="R16" s="21">
        <v>100</v>
      </c>
      <c r="S16" s="21">
        <v>0</v>
      </c>
      <c r="T16" s="21">
        <v>0</v>
      </c>
      <c r="U16" s="21">
        <v>0</v>
      </c>
      <c r="V16" s="21">
        <v>0</v>
      </c>
      <c r="W16" s="62">
        <f>I16/'Final insect weight kjg '!$F$21</f>
        <v>1.1232581851138554</v>
      </c>
      <c r="X16" s="63">
        <f>W16/'Final insect weight kjg '!$C$21</f>
        <v>18.568995029361712</v>
      </c>
      <c r="Y16" s="57"/>
      <c r="Z16" s="62">
        <f>I16/'Final insect weight kjg '!$F$25</f>
        <v>1.1232581851138554</v>
      </c>
      <c r="AA16" s="63">
        <f>Z16/'Final insect weight kjg '!$C$25</f>
        <v>76.935492131085994</v>
      </c>
      <c r="AB16" s="57"/>
      <c r="AC16" s="57" t="s">
        <v>49</v>
      </c>
      <c r="AD16" s="57" t="s">
        <v>49</v>
      </c>
      <c r="AE16" s="57" t="s">
        <v>49</v>
      </c>
      <c r="AF16" s="57" t="s">
        <v>49</v>
      </c>
      <c r="AG16" s="57" t="s">
        <v>49</v>
      </c>
      <c r="AH16" s="57" t="s">
        <v>49</v>
      </c>
      <c r="AI16" s="57" t="s">
        <v>49</v>
      </c>
      <c r="AJ16" s="57" t="s">
        <v>49</v>
      </c>
      <c r="AK16" s="57" t="s">
        <v>49</v>
      </c>
      <c r="AL16" s="57" t="s">
        <v>49</v>
      </c>
      <c r="AM16" s="57" t="s">
        <v>49</v>
      </c>
      <c r="AN16" s="57" t="s">
        <v>49</v>
      </c>
      <c r="AO16" s="57"/>
      <c r="AP16" s="103">
        <f>(I16/'Final insect weight kjg '!$F$25)</f>
        <v>1.1232581851138554</v>
      </c>
      <c r="AQ16" s="103">
        <f>AP16/'Final insect weight kjg '!$C$25</f>
        <v>76.935492131085994</v>
      </c>
      <c r="AR16" s="105">
        <f>(I16/'Final insect weight kjg '!$F$21)</f>
        <v>1.1232581851138554</v>
      </c>
      <c r="AS16" s="108">
        <f>AR16/'Final insect weight kjg '!$C$21</f>
        <v>18.568995029361712</v>
      </c>
      <c r="AT16" s="72">
        <f>I16/'Final insect weight kjg '!$F$16</f>
        <v>1.2008720402107431</v>
      </c>
      <c r="AU16" s="114">
        <f>AT16/'Final insect weight kjg '!$C$16</f>
        <v>3002.1801005268576</v>
      </c>
      <c r="AV16" s="72">
        <f>I16/'Final insect weight kjg '!$F$4</f>
        <v>1.128628343767786</v>
      </c>
      <c r="AW16" s="114">
        <f>AV16/'Final insect weight kjg '!$C$4</f>
        <v>6.9927406677062329</v>
      </c>
      <c r="AX16" s="104">
        <f>I16/'Final insect weight kjg '!$F$14</f>
        <v>1.2008720402107431</v>
      </c>
      <c r="AY16" s="114">
        <f>AX16/'Final insect weight kjg '!$C$14</f>
        <v>235.46510592367511</v>
      </c>
      <c r="AZ16" s="104">
        <f>I16/'Final insect weight kjg '!$F$15</f>
        <v>1.2008720402107431</v>
      </c>
      <c r="BA16" s="114">
        <f>AZ16/'Final insect weight kjg '!$C$15</f>
        <v>1091.7018547370392</v>
      </c>
      <c r="BB16" s="104">
        <f>'bat Energetic calcs'!I16/'Final insect weight kjg '!$F$28</f>
        <v>1.1877807726864329</v>
      </c>
      <c r="BC16" s="114">
        <f>BB16/'Final insect weight kjg '!$C$28</f>
        <v>19.28215540075378</v>
      </c>
      <c r="BD16" s="104">
        <f>I16/'Final insect weight kjg '!$H$9</f>
        <v>1.2835782251278403</v>
      </c>
      <c r="BE16" s="114">
        <f>BD16/'Final insect weight kjg '!$C$7</f>
        <v>802.23639070490015</v>
      </c>
      <c r="BF16" s="104">
        <f>I16/'Final insect weight kjg '!$F$12</f>
        <v>1.3886554621848741</v>
      </c>
      <c r="BG16" s="114">
        <f>BF16/'Final insect weight kjg '!$C$12</f>
        <v>272.28538474213218</v>
      </c>
    </row>
    <row r="17" spans="1:59" s="24" customFormat="1">
      <c r="A17" s="19" t="s">
        <v>17</v>
      </c>
      <c r="B17" s="20">
        <v>1.87</v>
      </c>
      <c r="C17" s="20">
        <v>0.73199999999999998</v>
      </c>
      <c r="D17" s="20">
        <v>3.9</v>
      </c>
      <c r="E17" s="20">
        <v>3</v>
      </c>
      <c r="F17" s="20">
        <v>6.5</v>
      </c>
      <c r="G17" s="20">
        <f t="shared" si="5"/>
        <v>1.3609765531356006</v>
      </c>
      <c r="H17" s="20">
        <f t="shared" si="0"/>
        <v>2.8662348368952597</v>
      </c>
      <c r="I17" s="68">
        <v>17.57</v>
      </c>
      <c r="J17" s="20" t="str">
        <f t="shared" si="1"/>
        <v>17.57 (14.5-25.54)</v>
      </c>
      <c r="K17" s="22">
        <v>37</v>
      </c>
      <c r="L17" s="206">
        <f t="shared" si="2"/>
        <v>1.0986122886681098</v>
      </c>
      <c r="M17" s="206">
        <f t="shared" si="6"/>
        <v>2.6741841953050565</v>
      </c>
      <c r="N17" s="207">
        <v>14.5</v>
      </c>
      <c r="O17" s="206">
        <f t="shared" si="3"/>
        <v>1.8718021769015913</v>
      </c>
      <c r="P17" s="206">
        <f t="shared" si="4"/>
        <v>3.2401591934919649</v>
      </c>
      <c r="Q17" s="208">
        <v>25.54</v>
      </c>
      <c r="R17" s="23">
        <v>71.133897912880101</v>
      </c>
      <c r="S17" s="23">
        <v>18.162194757809399</v>
      </c>
      <c r="T17" s="23">
        <v>4.6329896822766301</v>
      </c>
      <c r="U17" s="23">
        <v>4.7802462258512604</v>
      </c>
      <c r="V17" s="23">
        <v>1.15147898646382</v>
      </c>
      <c r="W17" s="62">
        <f>I17/'Final insect weight kjg '!$F$21</f>
        <v>0.99524187153053156</v>
      </c>
      <c r="X17" s="62">
        <f>W17/'Final insect weight kjg '!$C$21</f>
        <v>16.452710169737028</v>
      </c>
      <c r="Y17" s="63">
        <f>X17*71%</f>
        <v>11.681424220513289</v>
      </c>
      <c r="Z17" s="62">
        <f>I17/'Final insect weight kjg '!$F$25</f>
        <v>0.99524187153053156</v>
      </c>
      <c r="AA17" s="62">
        <f>Z17/'Final insect weight kjg '!$C$25</f>
        <v>68.167251474693941</v>
      </c>
      <c r="AB17" s="63">
        <f>AA17*71%</f>
        <v>48.398748547032696</v>
      </c>
      <c r="AC17" s="62">
        <f>I17/'Final insect weight kjg '!$F$27</f>
        <v>1.0524109014675052</v>
      </c>
      <c r="AD17" s="62">
        <f>AC17/'Final insect weight kjg '!$C$27</f>
        <v>219.25227113906359</v>
      </c>
      <c r="AE17" s="63">
        <f>AD17*18%</f>
        <v>39.465408805031444</v>
      </c>
      <c r="AF17" s="62">
        <f>I17/'Final insect weight kjg '!$F$5</f>
        <v>1.4635568513119535</v>
      </c>
      <c r="AG17" s="62">
        <f>AF17/'Final insect weight kjg '!$C$5</f>
        <v>121.96307094266278</v>
      </c>
      <c r="AH17" s="63">
        <f>AG17*5%</f>
        <v>6.0981535471331396</v>
      </c>
      <c r="AI17" s="62">
        <f>I17/'Final insect weight kjg '!$F$13</f>
        <v>1.0640101738024588</v>
      </c>
      <c r="AJ17" s="62">
        <f>AI17/'Final insect weight kjg '!$C$13</f>
        <v>354.67005793415291</v>
      </c>
      <c r="AK17" s="63">
        <f>AJ17*5%</f>
        <v>17.733502896707645</v>
      </c>
      <c r="AL17" s="62">
        <f>I17/'Final insect weight kjg '!$F$4</f>
        <v>1</v>
      </c>
      <c r="AM17" s="62">
        <f>AL17/'Final insect weight kjg '!$C$4</f>
        <v>6.195786864931847</v>
      </c>
      <c r="AN17" s="102">
        <f>AM17*8%</f>
        <v>0.49566294919454779</v>
      </c>
      <c r="AO17" s="62"/>
      <c r="AP17" s="103">
        <f>(I17/'Final insect weight kjg '!$F$25)</f>
        <v>0.99524187153053156</v>
      </c>
      <c r="AQ17" s="103">
        <f>AP17/'Final insect weight kjg '!$C$25</f>
        <v>68.167251474693941</v>
      </c>
      <c r="AR17" s="105">
        <f>(I17/'Final insect weight kjg '!$F$21)</f>
        <v>0.99524187153053156</v>
      </c>
      <c r="AS17" s="108">
        <f>AR17/'Final insect weight kjg '!$C$21</f>
        <v>16.452710169737028</v>
      </c>
      <c r="AT17" s="72">
        <f>I17/'Final insect weight kjg '!$F$16</f>
        <v>1.0640101738024588</v>
      </c>
      <c r="AU17" s="114">
        <f>AT17/'Final insect weight kjg '!$C$16</f>
        <v>2660.0254345061467</v>
      </c>
      <c r="AV17" s="72">
        <f>I17/'Final insect weight kjg '!$F$4</f>
        <v>1</v>
      </c>
      <c r="AW17" s="114">
        <f>AV17/'Final insect weight kjg '!$C$4</f>
        <v>6.195786864931847</v>
      </c>
      <c r="AX17" s="104">
        <f>I17/'Final insect weight kjg '!$F$14</f>
        <v>1.0640101738024588</v>
      </c>
      <c r="AY17" s="114">
        <f>AX17/'Final insect weight kjg '!$C$14</f>
        <v>208.62944584361935</v>
      </c>
      <c r="AZ17" s="104">
        <f>I17/'Final insect weight kjg '!$F$15</f>
        <v>1.0640101738024588</v>
      </c>
      <c r="BA17" s="114">
        <f>AZ17/'Final insect weight kjg '!$C$15</f>
        <v>967.28197618405341</v>
      </c>
      <c r="BB17" s="104">
        <f>'bat Energetic calcs'!I17/'Final insect weight kjg '!$F$28</f>
        <v>1.0524109014675052</v>
      </c>
      <c r="BC17" s="114">
        <f>BB17/'Final insect weight kjg '!$C$28</f>
        <v>17.084592556290669</v>
      </c>
      <c r="BD17" s="104">
        <f>I17/'Final insect weight kjg '!$H$9</f>
        <v>1.1372904395106482</v>
      </c>
      <c r="BE17" s="114">
        <f>BD17/'Final insect weight kjg '!$C$7</f>
        <v>710.80652469415509</v>
      </c>
      <c r="BF17" s="104">
        <f>I17/'Final insect weight kjg '!$F$12</f>
        <v>1.2303921568627454</v>
      </c>
      <c r="BG17" s="114">
        <f>BF17/'Final insect weight kjg '!$C$12</f>
        <v>241.25336409073438</v>
      </c>
    </row>
    <row r="18" spans="1:59" s="5" customFormat="1">
      <c r="A18" s="4" t="s">
        <v>18</v>
      </c>
      <c r="B18" s="6">
        <v>1.87</v>
      </c>
      <c r="C18" s="6">
        <v>0.73199999999999998</v>
      </c>
      <c r="D18" s="6">
        <v>5.2</v>
      </c>
      <c r="E18" s="6">
        <v>3.6</v>
      </c>
      <c r="F18" s="6">
        <v>7</v>
      </c>
      <c r="G18" s="6">
        <f t="shared" si="5"/>
        <v>1.6486586255873816</v>
      </c>
      <c r="H18" s="6">
        <f t="shared" si="0"/>
        <v>3.0768181139299635</v>
      </c>
      <c r="I18" s="68">
        <v>21.69</v>
      </c>
      <c r="J18" s="6" t="str">
        <f t="shared" si="1"/>
        <v>21.69 (16.57-26.96)</v>
      </c>
      <c r="K18" s="2">
        <v>4</v>
      </c>
      <c r="L18" s="181">
        <f t="shared" si="2"/>
        <v>1.2809338454620642</v>
      </c>
      <c r="M18" s="181">
        <f t="shared" si="6"/>
        <v>2.8076435748782309</v>
      </c>
      <c r="N18" s="204">
        <v>16.57</v>
      </c>
      <c r="O18" s="181">
        <f t="shared" si="3"/>
        <v>1.9459101490553132</v>
      </c>
      <c r="P18" s="181">
        <f t="shared" si="4"/>
        <v>3.2944062291084895</v>
      </c>
      <c r="Q18" s="205">
        <v>26.96</v>
      </c>
      <c r="R18" s="9"/>
      <c r="S18" s="9"/>
      <c r="T18" s="9"/>
      <c r="U18" s="9"/>
      <c r="V18" s="9"/>
      <c r="W18" s="66"/>
      <c r="X18" s="66"/>
      <c r="Y18" s="57"/>
      <c r="Z18" s="66"/>
      <c r="AA18" s="66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103">
        <f>(I18/'Final insect weight kjg '!$F$25)</f>
        <v>1.2286167440806619</v>
      </c>
      <c r="AQ18" s="103">
        <f>AP18/'Final insect weight kjg '!$C$25</f>
        <v>84.151831786346705</v>
      </c>
      <c r="AR18" s="105">
        <f>(I18/'Final insect weight kjg '!$F$21)</f>
        <v>1.2286167440806619</v>
      </c>
      <c r="AS18" s="108">
        <f>AR18/'Final insect weight kjg '!$C$21</f>
        <v>20.310716197017424</v>
      </c>
      <c r="AT18" s="72">
        <f>I18/'Final insect weight kjg '!$F$16</f>
        <v>1.3135105674317207</v>
      </c>
      <c r="AU18" s="114">
        <f>AT18/'Final insect weight kjg '!$C$16</f>
        <v>3283.7764185793017</v>
      </c>
      <c r="AV18" s="72">
        <f>I18/'Final insect weight kjg '!$F$4</f>
        <v>1.2344906089926011</v>
      </c>
      <c r="AW18" s="114">
        <f>AV18/'Final insect weight kjg '!$C$4</f>
        <v>7.6486407000780741</v>
      </c>
      <c r="AX18" s="104">
        <f>I18/'Final insect weight kjg '!$F$14</f>
        <v>1.3135105674317207</v>
      </c>
      <c r="AY18" s="114">
        <f>AX18/'Final insect weight kjg '!$C$14</f>
        <v>257.55109165327855</v>
      </c>
      <c r="AZ18" s="104">
        <f>I18/'Final insect weight kjg '!$F$15</f>
        <v>1.3135105674317207</v>
      </c>
      <c r="BA18" s="114">
        <f>AZ18/'Final insect weight kjg '!$C$15</f>
        <v>1194.1005158470186</v>
      </c>
      <c r="BB18" s="104">
        <f>'bat Energetic calcs'!I18/'Final insect weight kjg '!$F$28</f>
        <v>1.2991913746630728</v>
      </c>
      <c r="BC18" s="114">
        <f>BB18/'Final insect weight kjg '!$C$28</f>
        <v>21.090769069205727</v>
      </c>
      <c r="BD18" s="104">
        <f>I18/'Final insect weight kjg '!$H$9</f>
        <v>1.403974367272963</v>
      </c>
      <c r="BE18" s="114">
        <f>BD18/'Final insect weight kjg '!$C$7</f>
        <v>877.48397954560187</v>
      </c>
      <c r="BF18" s="104">
        <f>I18/'Final insect weight kjg '!$F$12</f>
        <v>1.5189075630252105</v>
      </c>
      <c r="BG18" s="114">
        <f>BF18/'Final insect weight kjg '!$C$12</f>
        <v>297.82501235788436</v>
      </c>
    </row>
    <row r="19" spans="1:59" s="5" customFormat="1">
      <c r="A19" s="4" t="s">
        <v>19</v>
      </c>
      <c r="B19" s="6">
        <v>1.87</v>
      </c>
      <c r="C19" s="6">
        <v>0.73199999999999998</v>
      </c>
      <c r="D19" s="6">
        <v>7.2</v>
      </c>
      <c r="E19" s="6">
        <v>6</v>
      </c>
      <c r="F19" s="6">
        <v>8.3000000000000007</v>
      </c>
      <c r="G19" s="6">
        <f t="shared" si="5"/>
        <v>1.9740810260220096</v>
      </c>
      <c r="H19" s="6">
        <f t="shared" si="0"/>
        <v>3.3150273110481114</v>
      </c>
      <c r="I19" s="68">
        <v>27.52</v>
      </c>
      <c r="J19" s="6" t="str">
        <f t="shared" si="1"/>
        <v>27.52 (24.08-30.54)</v>
      </c>
      <c r="K19" s="2">
        <v>1</v>
      </c>
      <c r="L19" s="181">
        <f t="shared" si="2"/>
        <v>1.791759469228055</v>
      </c>
      <c r="M19" s="181">
        <f t="shared" si="6"/>
        <v>3.1815679314749366</v>
      </c>
      <c r="N19" s="204">
        <v>24.08</v>
      </c>
      <c r="O19" s="181">
        <f t="shared" si="3"/>
        <v>2.1162555148025524</v>
      </c>
      <c r="P19" s="181">
        <f t="shared" si="4"/>
        <v>3.4190990368354681</v>
      </c>
      <c r="Q19" s="205">
        <v>30.54</v>
      </c>
      <c r="R19" s="9"/>
      <c r="S19" s="9"/>
      <c r="T19" s="9"/>
      <c r="U19" s="9"/>
      <c r="V19" s="9"/>
      <c r="W19" s="66"/>
      <c r="X19" s="66"/>
      <c r="Y19" s="57"/>
      <c r="Z19" s="66"/>
      <c r="AA19" s="66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103">
        <f>(I19/'Final insect weight kjg '!$F$25)</f>
        <v>1.5588535176164044</v>
      </c>
      <c r="AQ19" s="103">
        <f>AP19/'Final insect weight kjg '!$C$25</f>
        <v>106.77078887783593</v>
      </c>
      <c r="AR19" s="105">
        <f>(I19/'Final insect weight kjg '!$F$21)</f>
        <v>1.5588535176164044</v>
      </c>
      <c r="AS19" s="108">
        <f>AR19/'Final insect weight kjg '!$C$21</f>
        <v>25.769982007465167</v>
      </c>
      <c r="AT19" s="72">
        <f>I19/'Final insect weight kjg '!$F$16</f>
        <v>1.6665657360867197</v>
      </c>
      <c r="AU19" s="114">
        <f>AT19/'Final insect weight kjg '!$C$16</f>
        <v>4166.4143402167992</v>
      </c>
      <c r="AV19" s="72">
        <f>I19/'Final insect weight kjg '!$F$4</f>
        <v>1.5663062037564028</v>
      </c>
      <c r="AW19" s="114">
        <f>AV19/'Final insect weight kjg '!$C$4</f>
        <v>9.7044994036951859</v>
      </c>
      <c r="AX19" s="104">
        <f>I19/'Final insect weight kjg '!$F$14</f>
        <v>1.6665657360867197</v>
      </c>
      <c r="AY19" s="114">
        <f>AX19/'Final insect weight kjg '!$C$14</f>
        <v>326.7775953111215</v>
      </c>
      <c r="AZ19" s="104">
        <f>I19/'Final insect weight kjg '!$F$15</f>
        <v>1.6665657360867197</v>
      </c>
      <c r="BA19" s="114">
        <f>AZ19/'Final insect weight kjg '!$C$15</f>
        <v>1515.059760078836</v>
      </c>
      <c r="BB19" s="104">
        <f>'bat Energetic calcs'!I19/'Final insect weight kjg '!$F$28</f>
        <v>1.6483977238694218</v>
      </c>
      <c r="BC19" s="114">
        <f>BB19/'Final insect weight kjg '!$C$28</f>
        <v>26.759703309568536</v>
      </c>
      <c r="BD19" s="104">
        <f>I19/'Final insect weight kjg '!$H$9</f>
        <v>1.7813450708783745</v>
      </c>
      <c r="BE19" s="114">
        <f>BD19/'Final insect weight kjg '!$C$7</f>
        <v>1113.340669298984</v>
      </c>
      <c r="BF19" s="104">
        <f>I19/'Final insect weight kjg '!$F$12</f>
        <v>1.9271708683473392</v>
      </c>
      <c r="BG19" s="114">
        <f>BF19/'Final insect weight kjg '!$C$12</f>
        <v>377.87664085241943</v>
      </c>
    </row>
    <row r="20" spans="1:59" s="5" customFormat="1">
      <c r="A20" s="4" t="s">
        <v>20</v>
      </c>
      <c r="B20" s="6">
        <v>1.87</v>
      </c>
      <c r="C20" s="6">
        <v>0.73199999999999998</v>
      </c>
      <c r="D20" s="6">
        <v>5.4</v>
      </c>
      <c r="E20" s="6">
        <v>4.5</v>
      </c>
      <c r="F20" s="6">
        <v>6.7</v>
      </c>
      <c r="G20" s="6">
        <f t="shared" si="5"/>
        <v>1.6863989535702288</v>
      </c>
      <c r="H20" s="6">
        <f t="shared" si="0"/>
        <v>3.1044440340134076</v>
      </c>
      <c r="I20" s="68">
        <v>22.3</v>
      </c>
      <c r="J20" s="6" t="str">
        <f t="shared" si="1"/>
        <v>22.3 (19.51-26.11)</v>
      </c>
      <c r="K20" s="2">
        <v>1</v>
      </c>
      <c r="L20" s="181">
        <f t="shared" si="2"/>
        <v>1.5040773967762742</v>
      </c>
      <c r="M20" s="181">
        <f t="shared" si="6"/>
        <v>2.9709846544402327</v>
      </c>
      <c r="N20" s="204">
        <v>19.510000000000002</v>
      </c>
      <c r="O20" s="181">
        <f t="shared" si="3"/>
        <v>1.9021075263969205</v>
      </c>
      <c r="P20" s="181">
        <f t="shared" si="4"/>
        <v>3.2623427093225459</v>
      </c>
      <c r="Q20" s="205">
        <v>26.11</v>
      </c>
      <c r="R20" s="9"/>
      <c r="S20" s="9"/>
      <c r="T20" s="9"/>
      <c r="U20" s="9"/>
      <c r="V20" s="9"/>
      <c r="W20" s="66"/>
      <c r="X20" s="66"/>
      <c r="Y20" s="57"/>
      <c r="Z20" s="66"/>
      <c r="AA20" s="66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103">
        <f>(I20/'Final insect weight kjg '!$F$25)</f>
        <v>1.2631698198708512</v>
      </c>
      <c r="AQ20" s="103">
        <f>AP20/'Final insect weight kjg '!$C$25</f>
        <v>86.518480813072003</v>
      </c>
      <c r="AR20" s="105">
        <f>(I20/'Final insect weight kjg '!$F$21)</f>
        <v>1.2631698198708512</v>
      </c>
      <c r="AS20" s="108">
        <f>AR20/'Final insect weight kjg '!$C$21</f>
        <v>20.881925827270106</v>
      </c>
      <c r="AT20" s="72">
        <f>I20/'Final insect weight kjg '!$F$16</f>
        <v>1.3504511596923638</v>
      </c>
      <c r="AU20" s="114">
        <f>AT20/'Final insect weight kjg '!$C$16</f>
        <v>3376.1278992309094</v>
      </c>
      <c r="AV20" s="72">
        <f>I20/'Final insect weight kjg '!$F$4</f>
        <v>1.2692088787706317</v>
      </c>
      <c r="AW20" s="114">
        <f>AV20/'Final insect weight kjg '!$C$4</f>
        <v>7.8637476999419569</v>
      </c>
      <c r="AX20" s="104">
        <f>I20/'Final insect weight kjg '!$F$14</f>
        <v>1.3504511596923638</v>
      </c>
      <c r="AY20" s="114">
        <f>AX20/'Final insect weight kjg '!$C$14</f>
        <v>264.79434503771836</v>
      </c>
      <c r="AZ20" s="104">
        <f>I20/'Final insect weight kjg '!$F$15</f>
        <v>1.3504511596923638</v>
      </c>
      <c r="BA20" s="114">
        <f>AZ20/'Final insect weight kjg '!$C$15</f>
        <v>1227.6828724476034</v>
      </c>
      <c r="BB20" s="104">
        <f>'bat Energetic calcs'!I20/'Final insect weight kjg '!$F$28</f>
        <v>1.3357292602575621</v>
      </c>
      <c r="BC20" s="114">
        <f>BB20/'Final insect weight kjg '!$C$28</f>
        <v>21.683916562622763</v>
      </c>
      <c r="BD20" s="104">
        <f>I20/'Final insect weight kjg '!$H$9</f>
        <v>1.4434591235678689</v>
      </c>
      <c r="BE20" s="114">
        <f>BD20/'Final insect weight kjg '!$C$7</f>
        <v>902.16195222991803</v>
      </c>
      <c r="BF20" s="104">
        <f>I20/'Final insect weight kjg '!$F$12</f>
        <v>1.5616246498599442</v>
      </c>
      <c r="BG20" s="114">
        <f>BF20/'Final insect weight kjg '!$C$12</f>
        <v>306.20091173724393</v>
      </c>
    </row>
    <row r="21" spans="1:59" s="24" customFormat="1">
      <c r="A21" s="19" t="s">
        <v>41</v>
      </c>
      <c r="B21" s="20">
        <v>1.87</v>
      </c>
      <c r="C21" s="20">
        <v>0.73199999999999998</v>
      </c>
      <c r="D21" s="20">
        <v>8.1999999999999993</v>
      </c>
      <c r="E21" s="20">
        <v>4.5999999999999996</v>
      </c>
      <c r="F21" s="20">
        <v>14.5</v>
      </c>
      <c r="G21" s="20">
        <f t="shared" si="5"/>
        <v>2.1041341542702074</v>
      </c>
      <c r="H21" s="20">
        <f t="shared" si="0"/>
        <v>3.4102262009257922</v>
      </c>
      <c r="I21" s="68">
        <v>30.27</v>
      </c>
      <c r="J21" s="20" t="str">
        <f t="shared" si="1"/>
        <v>30.27 (19.83-45.95)</v>
      </c>
      <c r="K21" s="22">
        <v>24</v>
      </c>
      <c r="L21" s="206">
        <f t="shared" si="2"/>
        <v>1.5260563034950492</v>
      </c>
      <c r="M21" s="206">
        <f t="shared" si="6"/>
        <v>2.987073214158376</v>
      </c>
      <c r="N21" s="207">
        <v>19.829999999999998</v>
      </c>
      <c r="O21" s="206">
        <f t="shared" si="3"/>
        <v>2.6741486494265287</v>
      </c>
      <c r="P21" s="206">
        <f t="shared" si="4"/>
        <v>3.8274768113802189</v>
      </c>
      <c r="Q21" s="208">
        <v>45.95</v>
      </c>
      <c r="R21" s="23">
        <v>79.850962796329</v>
      </c>
      <c r="S21" s="23">
        <v>11.823397365323199</v>
      </c>
      <c r="T21" s="23">
        <v>1.51008128188747</v>
      </c>
      <c r="U21" s="23">
        <v>0.97548194537678601</v>
      </c>
      <c r="V21" s="23">
        <v>5.8351805861142001</v>
      </c>
      <c r="W21" s="62">
        <f>I21/'Final insect weight kjg '!$F$21</f>
        <v>1.7146255806049624</v>
      </c>
      <c r="X21" s="66">
        <f>W21/'Final insect weight kjg '!$C$21</f>
        <v>28.345107389751842</v>
      </c>
      <c r="Y21" s="63">
        <f>X21*80%</f>
        <v>22.676085911801476</v>
      </c>
      <c r="Z21" s="62">
        <f>I21/'Final insect weight kjg '!$F$25</f>
        <v>1.7146255806049624</v>
      </c>
      <c r="AA21" s="62">
        <f>Z21/'Final insect weight kjg '!$C$25</f>
        <v>117.44010826061387</v>
      </c>
      <c r="AB21" s="63">
        <f>AA21*80%</f>
        <v>93.952086608491101</v>
      </c>
      <c r="AC21" s="62">
        <f>I21/'Final insect weight kjg '!$F$27</f>
        <v>1.8131176999101526</v>
      </c>
      <c r="AD21" s="62">
        <f>AC21/'Final insect weight kjg '!$C$27</f>
        <v>377.7328541479485</v>
      </c>
      <c r="AE21" s="63">
        <f>AD21*12%</f>
        <v>45.327942497753817</v>
      </c>
      <c r="AF21" s="62">
        <f>I21/'Final insect weight kjg '!$F$5</f>
        <v>2.5214493960849649</v>
      </c>
      <c r="AG21" s="62">
        <f>AF21/'Final insect weight kjg '!$C$5</f>
        <v>210.12078300708041</v>
      </c>
      <c r="AH21" s="63">
        <f>AG21*2%</f>
        <v>4.2024156601416083</v>
      </c>
      <c r="AI21" s="62">
        <f>I21/'Final insect weight kjg '!$F$13</f>
        <v>1.8331011929994552</v>
      </c>
      <c r="AJ21" s="62">
        <f>AI21/'Final insect weight kjg '!$C$13</f>
        <v>611.03373099981843</v>
      </c>
      <c r="AK21" s="63">
        <f>AJ21*1%</f>
        <v>6.1103373099981848</v>
      </c>
      <c r="AL21" s="62">
        <f>I21/'Final insect weight kjg '!$F$4</f>
        <v>1.7228229937393285</v>
      </c>
      <c r="AM21" s="62">
        <f>AL21/'Final insect weight kjg '!$C$4</f>
        <v>10.674244075212693</v>
      </c>
      <c r="AN21" s="102">
        <f>AM21*6%</f>
        <v>0.64045464451276157</v>
      </c>
      <c r="AO21" s="62"/>
      <c r="AP21" s="103">
        <f>(I21/'Final insect weight kjg '!$F$25)</f>
        <v>1.7146255806049624</v>
      </c>
      <c r="AQ21" s="103">
        <f>AP21/'Final insect weight kjg '!$C$25</f>
        <v>117.44010826061387</v>
      </c>
      <c r="AR21" s="105">
        <f>(I21/'Final insect weight kjg '!$F$21)</f>
        <v>1.7146255806049624</v>
      </c>
      <c r="AS21" s="108">
        <f>AR21/'Final insect weight kjg '!$C$21</f>
        <v>28.345107389751842</v>
      </c>
      <c r="AT21" s="72">
        <f>I21/'Final insect weight kjg '!$F$16</f>
        <v>1.8331011929994552</v>
      </c>
      <c r="AU21" s="114">
        <f>AT21/'Final insect weight kjg '!$C$16</f>
        <v>4582.7529824986377</v>
      </c>
      <c r="AV21" s="72">
        <f>I21/'Final insect weight kjg '!$F$4</f>
        <v>1.7228229937393285</v>
      </c>
      <c r="AW21" s="114">
        <f>AV21/'Final insect weight kjg '!$C$4</f>
        <v>10.674244075212693</v>
      </c>
      <c r="AX21" s="104">
        <f>I21/'Final insect weight kjg '!$F$14</f>
        <v>1.8331011929994552</v>
      </c>
      <c r="AY21" s="114">
        <f>AX21/'Final insect weight kjg '!$C$14</f>
        <v>359.43160647048137</v>
      </c>
      <c r="AZ21" s="104">
        <f>I21/'Final insect weight kjg '!$F$15</f>
        <v>1.8331011929994552</v>
      </c>
      <c r="BA21" s="114">
        <f>AZ21/'Final insect weight kjg '!$C$15</f>
        <v>1666.4556299995047</v>
      </c>
      <c r="BB21" s="104">
        <f>'bat Energetic calcs'!I21/'Final insect weight kjg '!$F$28</f>
        <v>1.8131176999101526</v>
      </c>
      <c r="BC21" s="114">
        <f>BB21/'Final insect weight kjg '!$C$28</f>
        <v>29.433728894645334</v>
      </c>
      <c r="BD21" s="104">
        <f>I21/'Final insect weight kjg '!$H$9</f>
        <v>1.9593501197488514</v>
      </c>
      <c r="BE21" s="114">
        <f>BD21/'Final insect weight kjg '!$C$7</f>
        <v>1224.5938248430321</v>
      </c>
      <c r="BF21" s="104">
        <f>I21/'Final insect weight kjg '!$F$12</f>
        <v>2.1197478991596643</v>
      </c>
      <c r="BG21" s="114">
        <f>BF21/'Final insect weight kjg '!$C$12</f>
        <v>415.63684297248318</v>
      </c>
    </row>
    <row r="22" spans="1:59" s="5" customFormat="1">
      <c r="A22" s="4" t="s">
        <v>21</v>
      </c>
      <c r="B22" s="6">
        <v>1.87</v>
      </c>
      <c r="C22" s="6">
        <v>0.73199999999999998</v>
      </c>
      <c r="D22" s="6">
        <v>25.4</v>
      </c>
      <c r="E22" s="6">
        <v>20</v>
      </c>
      <c r="F22" s="6">
        <v>39.799999999999997</v>
      </c>
      <c r="G22" s="6">
        <f t="shared" si="5"/>
        <v>3.2347491740244907</v>
      </c>
      <c r="H22" s="6">
        <f t="shared" si="0"/>
        <v>4.2378363953859273</v>
      </c>
      <c r="I22" s="68">
        <v>69.260000000000005</v>
      </c>
      <c r="J22" s="6" t="str">
        <f t="shared" si="1"/>
        <v>69.26 (58.14-96.22)</v>
      </c>
      <c r="K22" s="2">
        <v>9</v>
      </c>
      <c r="L22" s="181">
        <f t="shared" si="2"/>
        <v>2.9957322735539909</v>
      </c>
      <c r="M22" s="181">
        <f t="shared" si="6"/>
        <v>4.0628760242415218</v>
      </c>
      <c r="N22" s="204">
        <v>58.14</v>
      </c>
      <c r="O22" s="181">
        <f t="shared" si="3"/>
        <v>3.6838669122903918</v>
      </c>
      <c r="P22" s="181">
        <f t="shared" si="4"/>
        <v>4.5665905797965669</v>
      </c>
      <c r="Q22" s="205">
        <v>96.22</v>
      </c>
      <c r="R22" s="9"/>
      <c r="S22" s="9"/>
      <c r="T22" s="9"/>
      <c r="U22" s="9"/>
      <c r="V22" s="9"/>
      <c r="W22" s="66"/>
      <c r="X22" s="66"/>
      <c r="Y22" s="57"/>
      <c r="Z22" s="66"/>
      <c r="AA22" s="66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103">
        <f>(I22/'Final insect weight kjg '!$F$25)</f>
        <v>3.9231902118500068</v>
      </c>
      <c r="AQ22" s="103">
        <f>AP22/'Final insect weight kjg '!$C$25</f>
        <v>268.7116583458909</v>
      </c>
      <c r="AR22" s="105">
        <f>(I22/'Final insect weight kjg '!$F$21)</f>
        <v>3.9231902118500068</v>
      </c>
      <c r="AS22" s="108">
        <f>AR22/'Final insect weight kjg '!$C$21</f>
        <v>64.855703264427248</v>
      </c>
      <c r="AT22" s="72">
        <f>I22/'Final insect weight kjg '!$F$16</f>
        <v>4.194271180282203</v>
      </c>
      <c r="AU22" s="114">
        <f>AT22/'Final insect weight kjg '!$C$16</f>
        <v>10485.677950705507</v>
      </c>
      <c r="AV22" s="72">
        <f>I22/'Final insect weight kjg '!$F$4</f>
        <v>3.9419464997154243</v>
      </c>
      <c r="AW22" s="114">
        <f>AV22/'Final insect weight kjg '!$C$4</f>
        <v>24.423460345200898</v>
      </c>
      <c r="AX22" s="104">
        <f>I22/'Final insect weight kjg '!$F$14</f>
        <v>4.194271180282203</v>
      </c>
      <c r="AY22" s="114">
        <f>AX22/'Final insect weight kjg '!$C$14</f>
        <v>822.40611378082406</v>
      </c>
      <c r="AZ22" s="104">
        <f>I22/'Final insect weight kjg '!$F$15</f>
        <v>4.194271180282203</v>
      </c>
      <c r="BA22" s="114">
        <f>AZ22/'Final insect weight kjg '!$C$15</f>
        <v>3812.9738002565482</v>
      </c>
      <c r="BB22" s="104">
        <f>'bat Energetic calcs'!I22/'Final insect weight kjg '!$F$28</f>
        <v>4.1485474693021862</v>
      </c>
      <c r="BC22" s="114">
        <f>BB22/'Final insect weight kjg '!$C$28</f>
        <v>67.346549826334183</v>
      </c>
      <c r="BD22" s="104">
        <f>I22/'Final insect weight kjg '!$H$9</f>
        <v>4.4831380671888166</v>
      </c>
      <c r="BE22" s="114">
        <f>BD22/'Final insect weight kjg '!$C$7</f>
        <v>2801.96129199301</v>
      </c>
      <c r="BF22" s="104">
        <f>I22/'Final insect weight kjg '!$F$12</f>
        <v>4.8501400560224104</v>
      </c>
      <c r="BG22" s="114">
        <f>BF22/'Final insect weight kjg '!$C$12</f>
        <v>951.00785412204118</v>
      </c>
    </row>
    <row r="23" spans="1:59" s="27" customFormat="1">
      <c r="A23" s="25" t="s">
        <v>22</v>
      </c>
      <c r="B23" s="26">
        <v>1.87</v>
      </c>
      <c r="C23" s="26">
        <v>0.73199999999999998</v>
      </c>
      <c r="D23" s="26">
        <f>(6.4+7.4)/2</f>
        <v>6.9</v>
      </c>
      <c r="E23" s="26">
        <f>(4+6.1)/2</f>
        <v>5.05</v>
      </c>
      <c r="F23" s="26">
        <f>(8.5+9)/2</f>
        <v>8.75</v>
      </c>
      <c r="G23" s="26">
        <f t="shared" si="5"/>
        <v>1.9315214116032138</v>
      </c>
      <c r="H23" s="26">
        <f t="shared" si="0"/>
        <v>3.2838736732935523</v>
      </c>
      <c r="I23" s="69">
        <v>26.68</v>
      </c>
      <c r="J23" s="26" t="str">
        <f t="shared" si="1"/>
        <v>26.68 (21.23-31.75)</v>
      </c>
      <c r="K23" s="22">
        <v>332</v>
      </c>
      <c r="L23" s="209">
        <f t="shared" si="2"/>
        <v>1.6193882432872684</v>
      </c>
      <c r="M23" s="209">
        <f t="shared" si="6"/>
        <v>3.0553921940862807</v>
      </c>
      <c r="N23" s="210">
        <v>21.23</v>
      </c>
      <c r="O23" s="209">
        <f t="shared" si="3"/>
        <v>2.1690537003695232</v>
      </c>
      <c r="P23" s="209">
        <f t="shared" si="4"/>
        <v>3.4577473086704913</v>
      </c>
      <c r="Q23" s="211">
        <v>31.75</v>
      </c>
      <c r="R23" s="23">
        <v>96.848842689453605</v>
      </c>
      <c r="S23" s="23">
        <v>1.6959643007047599E-2</v>
      </c>
      <c r="T23" s="23">
        <v>3.4002778099317003E-2</v>
      </c>
      <c r="U23" s="23">
        <v>1.44692672763051E-3</v>
      </c>
      <c r="V23" s="23">
        <v>3.0806613786169099</v>
      </c>
      <c r="W23" s="62">
        <f>I23/'Final insect weight kjg '!$F$21</f>
        <v>1.5112722329217179</v>
      </c>
      <c r="X23" s="62">
        <f>W23/'Final insect weight kjg '!$C$21</f>
        <v>24.983398254330332</v>
      </c>
      <c r="Y23" s="63">
        <f>X23*97%</f>
        <v>24.233896306700423</v>
      </c>
      <c r="Z23" s="62">
        <f>I23/'Final insect weight kjg '!$F$25</f>
        <v>1.5112722329217179</v>
      </c>
      <c r="AA23" s="62">
        <f>Z23/'Final insect weight kjg '!$C$25</f>
        <v>103.51179677546013</v>
      </c>
      <c r="AB23" s="63">
        <f>AA23*97%</f>
        <v>100.40644287219632</v>
      </c>
      <c r="AC23" s="57" t="s">
        <v>49</v>
      </c>
      <c r="AD23" s="57" t="s">
        <v>49</v>
      </c>
      <c r="AE23" s="57" t="s">
        <v>49</v>
      </c>
      <c r="AF23" s="57" t="s">
        <v>49</v>
      </c>
      <c r="AG23" s="57" t="s">
        <v>49</v>
      </c>
      <c r="AH23" s="57" t="s">
        <v>49</v>
      </c>
      <c r="AI23" s="57" t="s">
        <v>49</v>
      </c>
      <c r="AJ23" s="57" t="s">
        <v>49</v>
      </c>
      <c r="AK23" s="57" t="s">
        <v>49</v>
      </c>
      <c r="AL23" s="62">
        <f>I23/'Final insect weight kjg '!$F$4</f>
        <v>1.5184974388161638</v>
      </c>
      <c r="AM23" s="62">
        <f>AL23/'Final insect weight kjg '!$C$4</f>
        <v>9.408286485849839</v>
      </c>
      <c r="AN23" s="102">
        <f>AM23*3%</f>
        <v>0.28224859457549517</v>
      </c>
      <c r="AO23" s="57"/>
      <c r="AP23" s="103">
        <f>(I23/'Final insect weight kjg '!$F$25)</f>
        <v>1.5112722329217179</v>
      </c>
      <c r="AQ23" s="103">
        <f>AP23/'Final insect weight kjg '!$C$25</f>
        <v>103.51179677546013</v>
      </c>
      <c r="AR23" s="105">
        <f>(I23/'Final insect weight kjg '!$F$21)</f>
        <v>1.5112722329217179</v>
      </c>
      <c r="AS23" s="108">
        <f>AR23/'Final insect weight kjg '!$C$21</f>
        <v>24.983398254330332</v>
      </c>
      <c r="AT23" s="72">
        <f>I23/'Final insect weight kjg '!$F$16</f>
        <v>1.615696723793375</v>
      </c>
      <c r="AU23" s="114">
        <f>AT23/'Final insect weight kjg '!$C$16</f>
        <v>4039.2418094834375</v>
      </c>
      <c r="AV23" s="72">
        <f>I23/'Final insect weight kjg '!$F$4</f>
        <v>1.5184974388161638</v>
      </c>
      <c r="AW23" s="114">
        <f>AV23/'Final insect weight kjg '!$C$4</f>
        <v>9.408286485849839</v>
      </c>
      <c r="AX23" s="104">
        <f>I23/'Final insect weight kjg '!$F$14</f>
        <v>1.615696723793375</v>
      </c>
      <c r="AY23" s="114">
        <f>AX23/'Final insect weight kjg '!$C$14</f>
        <v>316.80327917517155</v>
      </c>
      <c r="AZ23" s="104">
        <f>I23/'Final insect weight kjg '!$F$15</f>
        <v>1.615696723793375</v>
      </c>
      <c r="BA23" s="114">
        <f>AZ23/'Final insect weight kjg '!$C$15</f>
        <v>1468.8152034485227</v>
      </c>
      <c r="BB23" s="104">
        <f>'bat Energetic calcs'!I23/'Final insect weight kjg '!$F$28</f>
        <v>1.5980832584606168</v>
      </c>
      <c r="BC23" s="114">
        <f>BB23/'Final insect weight kjg '!$C$28</f>
        <v>25.942910039945076</v>
      </c>
      <c r="BD23" s="104">
        <f>I23/'Final insect weight kjg '!$H$9</f>
        <v>1.7269726195870287</v>
      </c>
      <c r="BE23" s="114">
        <f>BD23/'Final insect weight kjg '!$C$7</f>
        <v>1079.357887241893</v>
      </c>
      <c r="BF23" s="104">
        <f>I23/'Final insect weight kjg '!$F$12</f>
        <v>1.8683473389355745</v>
      </c>
      <c r="BG23" s="114">
        <f>BF23/'Final insect weight kjg '!$C$12</f>
        <v>366.34261547756358</v>
      </c>
    </row>
    <row r="24" spans="1:59" s="15" customFormat="1">
      <c r="A24" s="11"/>
      <c r="B24" s="12"/>
      <c r="C24" s="12"/>
      <c r="D24" s="12"/>
      <c r="E24" s="12"/>
      <c r="F24" s="12"/>
      <c r="G24" s="12"/>
      <c r="H24" s="12"/>
      <c r="I24" s="13"/>
      <c r="J24" s="12"/>
      <c r="K24" s="14"/>
      <c r="L24" s="212"/>
      <c r="M24" s="212"/>
      <c r="N24" s="213"/>
      <c r="O24" s="212"/>
      <c r="P24" s="212"/>
      <c r="Q24" s="214"/>
      <c r="R24" s="13"/>
      <c r="S24" s="13"/>
      <c r="T24" s="13"/>
      <c r="U24" s="13"/>
      <c r="V24" s="13"/>
      <c r="W24" s="79"/>
      <c r="X24" s="79"/>
      <c r="Y24" s="79"/>
      <c r="Z24" s="80"/>
      <c r="AA24" s="80"/>
      <c r="AB24" s="80"/>
      <c r="AC24" s="80"/>
      <c r="AD24" s="80"/>
      <c r="AE24" s="80"/>
      <c r="AF24" s="80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106"/>
      <c r="AS24" s="109"/>
      <c r="AT24" s="112"/>
      <c r="AU24" s="109"/>
      <c r="AV24" s="112"/>
      <c r="AW24" s="109"/>
      <c r="AX24" s="107"/>
      <c r="AY24" s="115"/>
      <c r="AZ24" s="107"/>
      <c r="BA24" s="115"/>
      <c r="BB24" s="107"/>
      <c r="BC24" s="115"/>
      <c r="BD24" s="107"/>
      <c r="BE24" s="115"/>
      <c r="BF24" s="107"/>
      <c r="BG24" s="115"/>
    </row>
    <row r="29" spans="1:59">
      <c r="AH29" s="7">
        <f>17/2</f>
        <v>8.5</v>
      </c>
      <c r="AK29" s="178"/>
    </row>
    <row r="30" spans="1:59">
      <c r="B30" s="7" t="s">
        <v>561</v>
      </c>
      <c r="AH30" s="7">
        <f>8.5/2</f>
        <v>4.25</v>
      </c>
    </row>
    <row r="31" spans="1:59" ht="22.8">
      <c r="A31" s="71" t="s">
        <v>3</v>
      </c>
      <c r="B31" s="7">
        <f>AR3/Scaling!$K$5</f>
        <v>32.746379510726527</v>
      </c>
      <c r="D31" s="182" t="s">
        <v>3</v>
      </c>
    </row>
    <row r="32" spans="1:59">
      <c r="A32" s="4" t="s">
        <v>4</v>
      </c>
      <c r="B32" s="7">
        <f>AR4/Scaling!$K$5</f>
        <v>10.257859265956265</v>
      </c>
      <c r="D32" s="182" t="s">
        <v>4</v>
      </c>
    </row>
    <row r="33" spans="1:43">
      <c r="A33" s="19" t="s">
        <v>5</v>
      </c>
      <c r="B33" s="7">
        <f>AR5/Scaling!$K$5</f>
        <v>15.722094226029823</v>
      </c>
      <c r="D33" s="182" t="s">
        <v>5</v>
      </c>
    </row>
    <row r="34" spans="1:43">
      <c r="A34" s="19" t="s">
        <v>6</v>
      </c>
      <c r="B34" s="7">
        <f>AR6/Scaling!$K$5</f>
        <v>11.403929325763901</v>
      </c>
      <c r="D34" s="182" t="s">
        <v>6</v>
      </c>
    </row>
    <row r="35" spans="1:43">
      <c r="A35" s="19" t="s">
        <v>7</v>
      </c>
      <c r="B35" s="7">
        <f>AR7/Scaling!$K$5</f>
        <v>8.2318344853056153</v>
      </c>
      <c r="D35" s="182" t="s">
        <v>7</v>
      </c>
      <c r="X35" s="7"/>
      <c r="Y35" s="7"/>
      <c r="Z35" s="7"/>
      <c r="AA35" s="7"/>
      <c r="AB35" s="7"/>
    </row>
    <row r="36" spans="1:43">
      <c r="A36" s="4" t="s">
        <v>8</v>
      </c>
      <c r="B36" s="7">
        <f>AR8/Scaling!$K$5</f>
        <v>15.97401674691633</v>
      </c>
      <c r="D36" s="182" t="s">
        <v>8</v>
      </c>
      <c r="X36" s="7"/>
      <c r="Y36" s="7"/>
      <c r="Z36" s="7"/>
      <c r="AA36" s="7"/>
      <c r="AB36" s="7"/>
    </row>
    <row r="37" spans="1:43">
      <c r="A37" s="4" t="s">
        <v>9</v>
      </c>
      <c r="B37" s="7">
        <f>AR9/Scaling!$K$5</f>
        <v>11.499730847791163</v>
      </c>
      <c r="D37" s="182" t="s">
        <v>9</v>
      </c>
      <c r="X37" s="7"/>
      <c r="Y37" s="7" t="s">
        <v>35</v>
      </c>
      <c r="Z37" s="7" t="s">
        <v>37</v>
      </c>
      <c r="AA37" s="7"/>
      <c r="AB37" s="7"/>
    </row>
    <row r="38" spans="1:43">
      <c r="A38" s="4" t="s">
        <v>10</v>
      </c>
      <c r="B38" s="7">
        <f>AR10/Scaling!$K$5</f>
        <v>11.5919841652989</v>
      </c>
      <c r="D38" s="182" t="s">
        <v>10</v>
      </c>
      <c r="X38" s="7"/>
      <c r="Y38" s="7" t="s">
        <v>29</v>
      </c>
      <c r="Z38" s="7">
        <v>6</v>
      </c>
      <c r="AA38" s="7"/>
      <c r="AB38" s="7"/>
    </row>
    <row r="39" spans="1:43">
      <c r="A39" s="4" t="s">
        <v>11</v>
      </c>
      <c r="B39" s="7">
        <f>AR11/Scaling!$K$5</f>
        <v>11.499730847791163</v>
      </c>
      <c r="D39" s="182" t="s">
        <v>11</v>
      </c>
      <c r="X39" s="7"/>
      <c r="Y39" s="7" t="s">
        <v>31</v>
      </c>
      <c r="Z39" s="7">
        <v>1</v>
      </c>
      <c r="AA39" s="7"/>
      <c r="AB39" s="7"/>
      <c r="AN39" s="8"/>
    </row>
    <row r="40" spans="1:43">
      <c r="A40" s="4" t="s">
        <v>12</v>
      </c>
      <c r="B40" s="7">
        <f>AR13/Scaling!$K$5</f>
        <v>36.741657799715369</v>
      </c>
      <c r="D40" s="182" t="s">
        <v>13</v>
      </c>
      <c r="X40" s="7"/>
      <c r="Y40" s="7" t="s">
        <v>34</v>
      </c>
      <c r="Z40" s="7">
        <v>1</v>
      </c>
      <c r="AA40" s="7"/>
      <c r="AB40" s="7"/>
    </row>
    <row r="41" spans="1:43">
      <c r="A41" s="4" t="s">
        <v>13</v>
      </c>
      <c r="B41" s="7">
        <f>AR14/Scaling!$K$5</f>
        <v>11.776490800314368</v>
      </c>
      <c r="D41" s="182" t="s">
        <v>14</v>
      </c>
      <c r="X41" s="7"/>
      <c r="Y41" s="7" t="s">
        <v>30</v>
      </c>
      <c r="Z41" s="7">
        <v>2</v>
      </c>
      <c r="AA41" s="7"/>
      <c r="AB41" s="7"/>
      <c r="AC41" s="58"/>
      <c r="AD41" s="58"/>
      <c r="AE41" s="58"/>
      <c r="AF41" s="58"/>
      <c r="AG41" s="10"/>
      <c r="AH41" s="10"/>
      <c r="AI41" s="10"/>
      <c r="AN41" s="10"/>
      <c r="AO41" s="10"/>
      <c r="AP41" s="10"/>
      <c r="AQ41" s="10"/>
    </row>
    <row r="42" spans="1:43">
      <c r="A42" s="4" t="s">
        <v>14</v>
      </c>
      <c r="B42" s="7">
        <f>AR15/Scaling!$K$5</f>
        <v>11.776490800314368</v>
      </c>
      <c r="D42" s="182" t="s">
        <v>15</v>
      </c>
      <c r="X42" s="7"/>
      <c r="Y42" s="7" t="s">
        <v>33</v>
      </c>
      <c r="Z42" s="7">
        <v>1</v>
      </c>
      <c r="AA42" s="7"/>
      <c r="AB42" s="7"/>
      <c r="AC42" s="58"/>
      <c r="AD42" s="58"/>
      <c r="AE42" s="58"/>
      <c r="AF42" s="58"/>
      <c r="AG42" s="10"/>
      <c r="AH42" s="10"/>
      <c r="AI42" s="10"/>
      <c r="AN42" s="10"/>
      <c r="AO42" s="10"/>
      <c r="AP42" s="10"/>
      <c r="AQ42" s="10"/>
    </row>
    <row r="43" spans="1:43">
      <c r="A43" s="4" t="s">
        <v>15</v>
      </c>
      <c r="B43" s="7">
        <f>AR16/Scaling!$K$5</f>
        <v>7.0360895622245847</v>
      </c>
      <c r="D43" s="182" t="s">
        <v>16</v>
      </c>
      <c r="X43" s="7"/>
      <c r="Y43" s="7" t="s">
        <v>28</v>
      </c>
      <c r="Z43" s="7">
        <v>19</v>
      </c>
      <c r="AA43" s="7"/>
      <c r="AB43" s="7"/>
      <c r="AC43" s="58"/>
      <c r="AD43" s="58"/>
      <c r="AE43" s="58"/>
      <c r="AF43" s="58"/>
      <c r="AG43" s="10"/>
      <c r="AH43" s="10"/>
      <c r="AI43" s="10"/>
      <c r="AN43" s="10"/>
      <c r="AO43" s="10"/>
      <c r="AP43" s="10"/>
      <c r="AQ43" s="10"/>
    </row>
    <row r="44" spans="1:43">
      <c r="A44" s="19" t="s">
        <v>16</v>
      </c>
      <c r="B44" s="7">
        <f>AR17/Scaling!$K$5</f>
        <v>6.2341953408111932</v>
      </c>
      <c r="D44" s="182" t="s">
        <v>17</v>
      </c>
      <c r="X44" s="7"/>
      <c r="Y44" s="7" t="s">
        <v>32</v>
      </c>
      <c r="Z44" s="7">
        <v>1</v>
      </c>
      <c r="AA44" s="7"/>
      <c r="AB44" s="7"/>
      <c r="AC44" s="58"/>
      <c r="AD44" s="58"/>
      <c r="AE44" s="58"/>
      <c r="AF44" s="58"/>
      <c r="AG44" s="10"/>
      <c r="AH44" s="10"/>
      <c r="AI44" s="10"/>
      <c r="AN44" s="10"/>
      <c r="AO44" s="10"/>
      <c r="AP44" s="10"/>
      <c r="AQ44" s="10"/>
    </row>
    <row r="45" spans="1:43">
      <c r="A45" s="19" t="s">
        <v>17</v>
      </c>
      <c r="B45" s="7">
        <f>AR18/Scaling!$K$5</f>
        <v>7.6960556028568456</v>
      </c>
      <c r="D45" s="182" t="s">
        <v>18</v>
      </c>
      <c r="X45" s="7"/>
      <c r="Y45" s="7" t="s">
        <v>36</v>
      </c>
      <c r="Z45" s="7">
        <v>58</v>
      </c>
      <c r="AA45" s="7"/>
      <c r="AB45" s="7"/>
      <c r="AC45" s="58"/>
      <c r="AD45" s="58"/>
      <c r="AE45" s="58"/>
      <c r="AF45" s="58"/>
      <c r="AG45" s="10"/>
      <c r="AH45" s="10"/>
      <c r="AI45" s="10"/>
      <c r="AN45" s="10"/>
      <c r="AO45" s="10"/>
      <c r="AP45" s="10"/>
      <c r="AQ45" s="10"/>
    </row>
    <row r="46" spans="1:43">
      <c r="A46" s="4" t="s">
        <v>18</v>
      </c>
      <c r="B46" s="7">
        <f>AR19/Scaling!$K$5</f>
        <v>9.764658837741834</v>
      </c>
      <c r="D46" s="182" t="s">
        <v>19</v>
      </c>
      <c r="X46" s="7"/>
      <c r="Y46" s="7"/>
      <c r="Z46" s="7"/>
      <c r="AA46" s="7"/>
      <c r="AB46" s="7"/>
      <c r="AC46" s="58"/>
      <c r="AD46" s="58"/>
      <c r="AE46" s="58"/>
      <c r="AF46" s="58"/>
      <c r="AG46" s="10"/>
      <c r="AH46" s="10"/>
      <c r="AI46" s="10"/>
      <c r="AN46" s="10"/>
      <c r="AO46" s="10"/>
      <c r="AP46" s="10"/>
      <c r="AQ46" s="10"/>
    </row>
    <row r="47" spans="1:43">
      <c r="A47" s="4" t="s">
        <v>19</v>
      </c>
      <c r="B47" s="7">
        <f>AR20/Scaling!$K$5</f>
        <v>7.9124960785480711</v>
      </c>
      <c r="D47" s="182" t="s">
        <v>20</v>
      </c>
      <c r="X47" s="7"/>
      <c r="Y47" s="7"/>
      <c r="Z47" s="7"/>
      <c r="AA47" s="7"/>
      <c r="AB47" s="7"/>
    </row>
    <row r="48" spans="1:43">
      <c r="A48" s="4" t="s">
        <v>20</v>
      </c>
      <c r="B48" s="7">
        <f>AR21/Scaling!$K$5</f>
        <v>10.740415080612111</v>
      </c>
      <c r="D48" s="182" t="s">
        <v>41</v>
      </c>
    </row>
    <row r="49" spans="1:46">
      <c r="A49" s="19" t="s">
        <v>41</v>
      </c>
      <c r="B49" s="7">
        <f>AR22/Scaling!$K$5</f>
        <v>24.57486450225289</v>
      </c>
      <c r="D49" s="182" t="s">
        <v>21</v>
      </c>
      <c r="AL49" s="8"/>
      <c r="AM49" s="8"/>
      <c r="AT49" s="10"/>
    </row>
    <row r="50" spans="1:46">
      <c r="A50" s="4" t="s">
        <v>21</v>
      </c>
      <c r="B50" s="7">
        <f>AR23/Scaling!$K$5</f>
        <v>9.4666096581014596</v>
      </c>
      <c r="D50" s="182" t="s">
        <v>251</v>
      </c>
      <c r="AT50" s="10"/>
    </row>
    <row r="51" spans="1:46">
      <c r="A51" s="25" t="s">
        <v>22</v>
      </c>
    </row>
    <row r="62" spans="1:46">
      <c r="I62" s="18"/>
      <c r="J62" s="17"/>
    </row>
    <row r="63" spans="1:46">
      <c r="J63" s="8">
        <f>44.31/2139</f>
        <v>2.0715287517531558E-2</v>
      </c>
    </row>
  </sheetData>
  <mergeCells count="8">
    <mergeCell ref="AL2:AN2"/>
    <mergeCell ref="AF2:AH2"/>
    <mergeCell ref="AI2:AK2"/>
    <mergeCell ref="D1:F1"/>
    <mergeCell ref="W1:AC1"/>
    <mergeCell ref="Z2:AB2"/>
    <mergeCell ref="W2:Y2"/>
    <mergeCell ref="AC2:AE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55B3-42E6-4EB1-9FAC-55457FDBD4ED}">
  <dimension ref="A1:V174"/>
  <sheetViews>
    <sheetView topLeftCell="E7" workbookViewId="0">
      <selection activeCell="G25" sqref="G25"/>
    </sheetView>
  </sheetViews>
  <sheetFormatPr defaultRowHeight="14.4"/>
  <cols>
    <col min="1" max="1" width="11" bestFit="1" customWidth="1"/>
    <col min="6" max="6" width="12" bestFit="1" customWidth="1"/>
    <col min="7" max="7" width="14.6640625" customWidth="1"/>
    <col min="8" max="8" width="11" bestFit="1" customWidth="1"/>
    <col min="9" max="9" width="16.44140625" bestFit="1" customWidth="1"/>
    <col min="10" max="10" width="11.6640625" bestFit="1" customWidth="1"/>
    <col min="11" max="11" width="12.44140625" customWidth="1"/>
    <col min="12" max="12" width="10.109375" bestFit="1" customWidth="1"/>
    <col min="13" max="13" width="14.21875" customWidth="1"/>
    <col min="14" max="14" width="15.77734375" customWidth="1"/>
    <col min="15" max="15" width="17.21875" bestFit="1" customWidth="1"/>
    <col min="16" max="16" width="16.88671875" customWidth="1"/>
    <col min="17" max="18" width="13.6640625" bestFit="1" customWidth="1"/>
    <col min="19" max="19" width="13.88671875" customWidth="1"/>
    <col min="20" max="20" width="16.109375" bestFit="1" customWidth="1"/>
    <col min="21" max="21" width="19.44140625" customWidth="1"/>
    <col min="22" max="22" width="14.6640625" customWidth="1"/>
  </cols>
  <sheetData>
    <row r="1" spans="1:22">
      <c r="A1" s="123" t="s">
        <v>178</v>
      </c>
    </row>
    <row r="2" spans="1:22">
      <c r="A2" s="123" t="s">
        <v>179</v>
      </c>
    </row>
    <row r="3" spans="1:22" ht="16.2">
      <c r="A3" s="123" t="s">
        <v>189</v>
      </c>
    </row>
    <row r="4" spans="1:22">
      <c r="A4" s="123"/>
    </row>
    <row r="5" spans="1:22" ht="16.2">
      <c r="A5" s="123" t="s">
        <v>180</v>
      </c>
    </row>
    <row r="6" spans="1:22" ht="16.2">
      <c r="A6" s="123" t="s">
        <v>181</v>
      </c>
    </row>
    <row r="7" spans="1:22">
      <c r="A7" s="123" t="s">
        <v>182</v>
      </c>
    </row>
    <row r="8" spans="1:22">
      <c r="A8" s="123" t="s">
        <v>183</v>
      </c>
    </row>
    <row r="9" spans="1:22">
      <c r="A9" s="124" t="s">
        <v>184</v>
      </c>
      <c r="Q9" s="312"/>
    </row>
    <row r="10" spans="1:22" ht="16.2">
      <c r="A10" s="123" t="s">
        <v>185</v>
      </c>
    </row>
    <row r="11" spans="1:22" ht="16.2">
      <c r="A11" s="123" t="s">
        <v>195</v>
      </c>
      <c r="N11" s="312"/>
    </row>
    <row r="12" spans="1:22">
      <c r="A12" s="125" t="s">
        <v>186</v>
      </c>
      <c r="L12" t="s">
        <v>183</v>
      </c>
      <c r="N12" s="225"/>
      <c r="P12" t="s">
        <v>553</v>
      </c>
      <c r="S12" t="s">
        <v>556</v>
      </c>
      <c r="T12" t="s">
        <v>275</v>
      </c>
    </row>
    <row r="13" spans="1:22" ht="57.6">
      <c r="A13" s="125"/>
      <c r="I13" s="1" t="s">
        <v>196</v>
      </c>
      <c r="J13" s="1" t="s">
        <v>192</v>
      </c>
      <c r="K13" s="1" t="s">
        <v>256</v>
      </c>
      <c r="L13" s="1" t="s">
        <v>257</v>
      </c>
      <c r="M13" s="1" t="s">
        <v>258</v>
      </c>
      <c r="N13" s="1" t="s">
        <v>462</v>
      </c>
      <c r="O13" s="1" t="s">
        <v>432</v>
      </c>
      <c r="P13" s="1" t="s">
        <v>431</v>
      </c>
      <c r="Q13" s="544"/>
      <c r="R13" s="1" t="s">
        <v>215</v>
      </c>
      <c r="S13" s="1" t="s">
        <v>551</v>
      </c>
      <c r="T13" s="1"/>
      <c r="U13" s="1" t="s">
        <v>554</v>
      </c>
      <c r="V13" s="1" t="s">
        <v>552</v>
      </c>
    </row>
    <row r="14" spans="1:22">
      <c r="A14" s="124" t="s">
        <v>187</v>
      </c>
      <c r="I14" s="1" t="s">
        <v>190</v>
      </c>
      <c r="J14" s="127">
        <v>22.5</v>
      </c>
      <c r="K14" s="127">
        <v>45</v>
      </c>
      <c r="L14" s="127">
        <v>1590.43128087983</v>
      </c>
      <c r="M14" s="444">
        <f>L14/10000</f>
        <v>0.15904312808798299</v>
      </c>
      <c r="N14" s="231">
        <f>I18/M14</f>
        <v>1236702.2855032834</v>
      </c>
      <c r="O14" s="231">
        <f>N14*I19</f>
        <v>9376924.0691429954</v>
      </c>
      <c r="P14" s="432">
        <f>O14*0.65</f>
        <v>6095000.6449429477</v>
      </c>
      <c r="Q14" s="432"/>
      <c r="R14" s="433">
        <f>(O14*0.65)*64%</f>
        <v>3900800.4127634866</v>
      </c>
      <c r="S14" s="312">
        <f>(R14*'Final insect weight kjg '!C21)/1000000</f>
        <v>0.23596355027311916</v>
      </c>
      <c r="T14" s="312">
        <f>(R14*Scaling!K5)/1000000</f>
        <v>0.62273311807400722</v>
      </c>
      <c r="U14" s="312">
        <f>P14*'Final insect weight kjg '!C30</f>
        <v>18285.001934828844</v>
      </c>
      <c r="V14" s="312">
        <f>U14/1000000</f>
        <v>1.8285001934828845E-2</v>
      </c>
    </row>
    <row r="15" spans="1:22" ht="16.2">
      <c r="A15" s="123" t="s">
        <v>188</v>
      </c>
      <c r="I15" s="1" t="s">
        <v>191</v>
      </c>
      <c r="J15" s="127">
        <v>20</v>
      </c>
      <c r="K15" s="127">
        <v>40</v>
      </c>
      <c r="L15" s="127">
        <v>1256.63706143591</v>
      </c>
      <c r="M15" s="444">
        <f>L15/10000</f>
        <v>0.12566370614359101</v>
      </c>
      <c r="N15" s="231">
        <f>I18/M15</f>
        <v>1565201.330090099</v>
      </c>
      <c r="O15" s="231">
        <f>N15*I19</f>
        <v>11867669.52500915</v>
      </c>
      <c r="P15" s="432">
        <f>O15*0.65</f>
        <v>7713985.1912559476</v>
      </c>
      <c r="Q15" s="432"/>
      <c r="R15" s="433">
        <f>(O15*0.65)*64%</f>
        <v>4936950.5224038064</v>
      </c>
      <c r="S15" s="312">
        <f>(R15*'Final insect weight kjg '!C21)/1000000</f>
        <v>0.29864136831441757</v>
      </c>
      <c r="T15" s="312">
        <f>(R15*Scaling!K5)/1000000</f>
        <v>0.78814660256241842</v>
      </c>
      <c r="U15" s="312">
        <f>P15*'Final insect weight kjg '!C30</f>
        <v>23141.955573767842</v>
      </c>
      <c r="V15" s="312">
        <f>U15/1000000</f>
        <v>2.3141955573767841E-2</v>
      </c>
    </row>
    <row r="16" spans="1:22" ht="16.2">
      <c r="A16" s="123" t="s">
        <v>194</v>
      </c>
      <c r="C16" t="s">
        <v>193</v>
      </c>
      <c r="U16" s="312"/>
    </row>
    <row r="17" spans="1:21">
      <c r="L17" s="317"/>
      <c r="Q17" t="s">
        <v>429</v>
      </c>
      <c r="T17" s="312"/>
    </row>
    <row r="18" spans="1:21">
      <c r="A18" s="126">
        <f>M15</f>
        <v>0.12566370614359101</v>
      </c>
      <c r="H18" s="155" t="s">
        <v>260</v>
      </c>
      <c r="I18">
        <v>196689</v>
      </c>
      <c r="M18" s="116">
        <f>I19/M14</f>
        <v>47.673861116498614</v>
      </c>
      <c r="N18" s="33" t="s">
        <v>309</v>
      </c>
      <c r="O18" s="429">
        <f>M18*I18</f>
        <v>9376924.0691429954</v>
      </c>
      <c r="P18" t="s">
        <v>310</v>
      </c>
      <c r="Q18" s="427">
        <f>O18*0.65</f>
        <v>6095000.6449429477</v>
      </c>
      <c r="T18" s="312"/>
      <c r="U18" s="312"/>
    </row>
    <row r="19" spans="1:21">
      <c r="H19" s="155" t="s">
        <v>259</v>
      </c>
      <c r="I19">
        <v>7.5822000000000003</v>
      </c>
      <c r="M19" s="116">
        <f>I19/M15</f>
        <v>60.337230475568788</v>
      </c>
      <c r="N19" s="33" t="s">
        <v>309</v>
      </c>
      <c r="O19" s="429">
        <f>M19*I18</f>
        <v>11867669.52500915</v>
      </c>
      <c r="P19" t="s">
        <v>310</v>
      </c>
      <c r="Q19" s="427">
        <f>O19*0.65</f>
        <v>7713985.1912559476</v>
      </c>
      <c r="U19" s="312"/>
    </row>
    <row r="20" spans="1:21">
      <c r="M20" s="33"/>
      <c r="N20" s="33"/>
    </row>
    <row r="21" spans="1:21">
      <c r="K21">
        <f>M18*I18</f>
        <v>9376924.0691429954</v>
      </c>
      <c r="M21" s="116">
        <f>M18*0.65</f>
        <v>30.988009725724101</v>
      </c>
      <c r="N21" s="33" t="s">
        <v>433</v>
      </c>
    </row>
    <row r="22" spans="1:21">
      <c r="M22" s="116">
        <f>M19*0.65</f>
        <v>39.219199809119715</v>
      </c>
      <c r="N22" s="33" t="s">
        <v>433</v>
      </c>
    </row>
    <row r="24" spans="1:21">
      <c r="M24" s="545"/>
      <c r="N24" s="545"/>
      <c r="O24" s="545"/>
      <c r="P24" s="545"/>
      <c r="Q24" s="545"/>
      <c r="R24" s="546"/>
      <c r="S24" s="546"/>
    </row>
    <row r="25" spans="1:21">
      <c r="G25" t="s">
        <v>550</v>
      </c>
      <c r="M25" s="547" t="s">
        <v>526</v>
      </c>
      <c r="N25" s="547"/>
      <c r="O25" s="547"/>
      <c r="P25" s="547"/>
      <c r="Q25" s="545"/>
      <c r="R25" s="546"/>
      <c r="S25" s="546"/>
    </row>
    <row r="26" spans="1:21">
      <c r="M26" s="548"/>
      <c r="N26" s="548" t="s">
        <v>273</v>
      </c>
      <c r="O26" s="548"/>
      <c r="P26" s="548" t="s">
        <v>274</v>
      </c>
      <c r="Q26" s="545"/>
      <c r="R26" s="546"/>
      <c r="S26" s="546"/>
    </row>
    <row r="27" spans="1:21">
      <c r="M27" s="548"/>
      <c r="N27" s="549">
        <f>Q18*'Chalinolobus gouldi calcs'!C10</f>
        <v>14913125.678033505</v>
      </c>
      <c r="O27" s="548" t="s">
        <v>263</v>
      </c>
      <c r="P27" s="549">
        <f>Q18*'Chalinolobus gouldi calcs'!D10</f>
        <v>38228808.754700974</v>
      </c>
      <c r="Q27" s="549">
        <f>O18*'Chalinolobus gouldi calcs'!D10</f>
        <v>58813551.930309176</v>
      </c>
      <c r="R27" s="545">
        <f>Q27/'Chalinolobus gouldi calcs'!F31</f>
        <v>58.813551930309174</v>
      </c>
      <c r="S27" s="545"/>
    </row>
    <row r="28" spans="1:21">
      <c r="M28" s="548"/>
      <c r="N28" s="549">
        <f>N27/'Chalinolobus gouldi calcs'!F31</f>
        <v>14.913125678033504</v>
      </c>
      <c r="O28" s="548" t="s">
        <v>264</v>
      </c>
      <c r="P28" s="549">
        <f>P27/'Chalinolobus gouldi calcs'!F31</f>
        <v>38.228808754700971</v>
      </c>
      <c r="Q28" s="550" t="s">
        <v>430</v>
      </c>
      <c r="R28" s="545"/>
      <c r="S28" s="545"/>
    </row>
    <row r="29" spans="1:21">
      <c r="M29" s="551"/>
      <c r="N29" s="552">
        <f>Q19*'Chalinolobus gouldi calcs'!C10</f>
        <v>18874424.686261225</v>
      </c>
      <c r="O29" s="551" t="s">
        <v>263</v>
      </c>
      <c r="P29" s="552">
        <f>Q19*'Chalinolobus gouldi calcs'!D10</f>
        <v>48383336.080168597</v>
      </c>
      <c r="Q29" s="549">
        <f>O19*'Chalinolobus gouldi calcs'!D10</f>
        <v>74435901.661797836</v>
      </c>
      <c r="R29" s="546"/>
      <c r="S29" s="546"/>
    </row>
    <row r="30" spans="1:21">
      <c r="M30" s="551"/>
      <c r="N30" s="552">
        <f>N29/'Chalinolobus gouldi calcs'!F31</f>
        <v>18.874424686261225</v>
      </c>
      <c r="O30" s="548" t="s">
        <v>264</v>
      </c>
      <c r="P30" s="552">
        <f>P29/'Chalinolobus gouldi calcs'!F31</f>
        <v>48.383336080168597</v>
      </c>
      <c r="Q30" s="553"/>
      <c r="R30" s="554">
        <f>Q29/'Chalinolobus gouldi calcs'!F31</f>
        <v>74.435901661797843</v>
      </c>
      <c r="S30" s="546"/>
    </row>
    <row r="31" spans="1:21">
      <c r="M31" s="158"/>
      <c r="N31" s="158"/>
    </row>
    <row r="32" spans="1:21">
      <c r="M32" s="158"/>
      <c r="N32" s="158"/>
      <c r="Q32" s="312"/>
    </row>
    <row r="33" spans="13:19">
      <c r="M33" s="158"/>
    </row>
    <row r="34" spans="13:19">
      <c r="M34" s="158"/>
      <c r="N34" s="43"/>
      <c r="P34" s="43"/>
      <c r="Q34" s="43"/>
    </row>
    <row r="35" spans="13:19">
      <c r="M35" s="158"/>
      <c r="N35" s="443"/>
      <c r="O35" s="442"/>
      <c r="P35" s="255"/>
      <c r="Q35" s="158"/>
    </row>
    <row r="36" spans="13:19">
      <c r="M36" s="158"/>
      <c r="N36" s="443"/>
      <c r="O36" s="442"/>
      <c r="P36" s="158"/>
      <c r="Q36" s="158"/>
    </row>
    <row r="37" spans="13:19">
      <c r="M37" s="158"/>
      <c r="N37" s="158"/>
      <c r="O37" s="158"/>
      <c r="P37" s="158"/>
      <c r="Q37" s="158"/>
    </row>
    <row r="38" spans="13:19">
      <c r="M38" s="158"/>
      <c r="N38" s="256"/>
      <c r="O38" s="158"/>
      <c r="P38" s="158"/>
      <c r="Q38" s="158"/>
    </row>
    <row r="39" spans="13:19">
      <c r="M39" s="158"/>
      <c r="N39" s="158"/>
      <c r="O39" s="158"/>
      <c r="P39" s="158"/>
      <c r="Q39" s="158"/>
    </row>
    <row r="40" spans="13:19">
      <c r="M40" s="158"/>
      <c r="N40" s="158"/>
      <c r="O40" s="158"/>
      <c r="P40" s="158"/>
      <c r="Q40" s="158"/>
    </row>
    <row r="41" spans="13:19">
      <c r="M41" s="158"/>
      <c r="N41" s="158"/>
      <c r="O41" s="158"/>
      <c r="P41" s="158"/>
      <c r="Q41" s="158"/>
    </row>
    <row r="42" spans="13:19">
      <c r="M42" s="182"/>
      <c r="N42" s="183">
        <v>1198</v>
      </c>
      <c r="O42" s="312">
        <f>N42*M14</f>
        <v>190.53366744940362</v>
      </c>
      <c r="P42" s="312"/>
    </row>
    <row r="43" spans="13:19">
      <c r="M43" s="195"/>
      <c r="N43" s="196"/>
      <c r="P43" s="312"/>
    </row>
    <row r="44" spans="13:19">
      <c r="M44" s="182"/>
      <c r="N44" s="183"/>
    </row>
    <row r="45" spans="13:19">
      <c r="M45" s="182" t="s">
        <v>281</v>
      </c>
      <c r="N45" s="197">
        <v>187406</v>
      </c>
      <c r="O45" s="317">
        <f>N45/N42</f>
        <v>156.43238731218699</v>
      </c>
      <c r="P45">
        <f>I18/O45</f>
        <v>1257.3419314216194</v>
      </c>
    </row>
    <row r="46" spans="13:19">
      <c r="M46" s="182" t="s">
        <v>282</v>
      </c>
      <c r="N46" s="183">
        <v>237187</v>
      </c>
    </row>
    <row r="47" spans="13:19">
      <c r="M47" s="158"/>
      <c r="N47" s="158"/>
      <c r="O47" s="158"/>
      <c r="P47" s="158"/>
      <c r="Q47" s="158"/>
      <c r="R47" s="158"/>
      <c r="S47" s="158"/>
    </row>
    <row r="48" spans="13:19">
      <c r="M48" s="182" t="s">
        <v>281</v>
      </c>
      <c r="N48" s="445">
        <f>M22*I18</f>
        <v>7713985.1912559476</v>
      </c>
      <c r="O48" s="158"/>
      <c r="P48" s="158"/>
      <c r="Q48" s="158">
        <f>P55*I18</f>
        <v>2422233.5323723238</v>
      </c>
      <c r="R48" s="158"/>
      <c r="S48" s="158"/>
    </row>
    <row r="49" spans="13:22">
      <c r="M49" s="182" t="s">
        <v>282</v>
      </c>
      <c r="N49" s="445">
        <f>I18*M19</f>
        <v>11867669.52500915</v>
      </c>
      <c r="O49" s="458">
        <f>M21*I18</f>
        <v>6095000.6449429477</v>
      </c>
      <c r="P49" s="312">
        <f>Q55*O49</f>
        <v>487600.05159543583</v>
      </c>
      <c r="Q49" s="158"/>
      <c r="R49" s="158"/>
      <c r="S49" s="158"/>
    </row>
    <row r="50" spans="13:22">
      <c r="M50" s="158"/>
      <c r="N50" s="158"/>
      <c r="O50" s="158"/>
      <c r="P50" s="158"/>
      <c r="Q50" s="158"/>
      <c r="R50" s="158"/>
      <c r="S50" s="158"/>
    </row>
    <row r="51" spans="13:22">
      <c r="O51" t="s">
        <v>461</v>
      </c>
    </row>
    <row r="52" spans="13:22" ht="63" customHeight="1" thickBot="1">
      <c r="M52" s="446" t="s">
        <v>434</v>
      </c>
      <c r="N52" s="447" t="s">
        <v>435</v>
      </c>
      <c r="P52" s="447" t="s">
        <v>460</v>
      </c>
      <c r="Q52" s="447" t="s">
        <v>436</v>
      </c>
      <c r="R52" s="447"/>
      <c r="S52" s="448" t="s">
        <v>437</v>
      </c>
      <c r="T52" s="448" t="s">
        <v>438</v>
      </c>
      <c r="U52" s="448" t="s">
        <v>439</v>
      </c>
      <c r="V52" s="449"/>
    </row>
    <row r="53" spans="13:22" ht="12" customHeight="1">
      <c r="M53" s="451" t="s">
        <v>3</v>
      </c>
      <c r="N53" s="452" t="s">
        <v>49</v>
      </c>
      <c r="O53" s="452"/>
      <c r="P53" s="452"/>
      <c r="Q53" s="453" t="s">
        <v>49</v>
      </c>
      <c r="R53" s="453"/>
      <c r="S53" s="452" t="s">
        <v>293</v>
      </c>
      <c r="T53" s="452">
        <v>86</v>
      </c>
      <c r="U53" s="452" t="s">
        <v>293</v>
      </c>
      <c r="V53" s="454"/>
    </row>
    <row r="54" spans="13:22" ht="12" customHeight="1">
      <c r="M54" s="451" t="s">
        <v>4</v>
      </c>
      <c r="N54" s="452" t="s">
        <v>49</v>
      </c>
      <c r="P54" s="452"/>
      <c r="Q54" s="453" t="s">
        <v>49</v>
      </c>
      <c r="R54" s="453"/>
      <c r="S54" s="452" t="s">
        <v>293</v>
      </c>
      <c r="T54" s="452">
        <v>27</v>
      </c>
      <c r="U54" s="452" t="s">
        <v>293</v>
      </c>
      <c r="V54" s="454"/>
    </row>
    <row r="55" spans="13:22" ht="12" customHeight="1">
      <c r="M55" s="451" t="s">
        <v>5</v>
      </c>
      <c r="N55" s="452">
        <v>98</v>
      </c>
      <c r="O55" s="471">
        <f>$N$14/N55</f>
        <v>12619.411076564116</v>
      </c>
      <c r="P55" s="462">
        <f>N55*$M$15</f>
        <v>12.315043202071919</v>
      </c>
      <c r="Q55" s="459">
        <v>0.08</v>
      </c>
      <c r="R55" s="459"/>
      <c r="S55" s="452" t="s">
        <v>440</v>
      </c>
      <c r="T55" s="452">
        <v>41</v>
      </c>
      <c r="U55" s="452" t="s">
        <v>283</v>
      </c>
      <c r="V55" s="454"/>
    </row>
    <row r="56" spans="13:22" ht="12" customHeight="1">
      <c r="M56" s="451" t="s">
        <v>6</v>
      </c>
      <c r="N56" s="452">
        <v>4</v>
      </c>
      <c r="O56" s="471">
        <f>$N$14/N56</f>
        <v>309175.57137582084</v>
      </c>
      <c r="P56" s="462">
        <f>N56*$M$15</f>
        <v>0.50265482457436406</v>
      </c>
      <c r="Q56" s="459">
        <v>0</v>
      </c>
      <c r="R56" s="459"/>
      <c r="S56" s="452" t="s">
        <v>441</v>
      </c>
      <c r="T56" s="452">
        <v>30</v>
      </c>
      <c r="U56" s="452" t="s">
        <v>284</v>
      </c>
      <c r="V56" s="454"/>
    </row>
    <row r="57" spans="13:22" ht="12" customHeight="1">
      <c r="M57" s="451" t="s">
        <v>7</v>
      </c>
      <c r="N57" s="452">
        <v>101</v>
      </c>
      <c r="O57" s="471">
        <f>$N$14/N57</f>
        <v>12244.577084190925</v>
      </c>
      <c r="P57" s="462">
        <f>N57*$M$15</f>
        <v>12.692034320502692</v>
      </c>
      <c r="Q57" s="459">
        <v>0.08</v>
      </c>
      <c r="R57" s="459"/>
      <c r="S57" s="452" t="s">
        <v>442</v>
      </c>
      <c r="T57" s="452">
        <v>22</v>
      </c>
      <c r="U57" s="452" t="s">
        <v>285</v>
      </c>
      <c r="V57" s="454"/>
    </row>
    <row r="58" spans="13:22" ht="12" customHeight="1">
      <c r="M58" s="451" t="s">
        <v>8</v>
      </c>
      <c r="N58" s="452">
        <v>1</v>
      </c>
      <c r="O58" s="471">
        <f>$N$14/N58</f>
        <v>1236702.2855032834</v>
      </c>
      <c r="P58" s="462">
        <f>N58*$M$15</f>
        <v>0.12566370614359101</v>
      </c>
      <c r="Q58" s="459">
        <v>0</v>
      </c>
      <c r="R58" s="459"/>
      <c r="S58" s="452" t="s">
        <v>443</v>
      </c>
      <c r="T58" s="452">
        <v>42</v>
      </c>
      <c r="U58" s="452" t="s">
        <v>286</v>
      </c>
      <c r="V58" s="454"/>
    </row>
    <row r="59" spans="13:22" ht="12" customHeight="1">
      <c r="M59" s="451" t="s">
        <v>444</v>
      </c>
      <c r="N59" s="452">
        <v>43</v>
      </c>
      <c r="O59" s="471">
        <f>$N$14/N59</f>
        <v>28760.518267518219</v>
      </c>
      <c r="P59" s="462">
        <f>N59*$M$15</f>
        <v>5.4035393641744136</v>
      </c>
      <c r="Q59" s="459">
        <v>0.04</v>
      </c>
      <c r="R59" s="459"/>
      <c r="S59" s="452" t="s">
        <v>445</v>
      </c>
      <c r="T59" s="452">
        <v>30</v>
      </c>
      <c r="U59" s="452" t="s">
        <v>287</v>
      </c>
      <c r="V59" s="454"/>
    </row>
    <row r="60" spans="13:22" ht="12" customHeight="1">
      <c r="M60" s="451" t="s">
        <v>446</v>
      </c>
      <c r="N60" s="452">
        <v>325</v>
      </c>
      <c r="O60" s="471">
        <f>$N$14/N60</f>
        <v>3805.2378015485642</v>
      </c>
      <c r="P60" s="462">
        <f>N60*$M$15</f>
        <v>40.84070449666708</v>
      </c>
      <c r="Q60" s="459">
        <v>0.27</v>
      </c>
      <c r="R60" s="459"/>
      <c r="S60" s="452" t="s">
        <v>447</v>
      </c>
      <c r="T60" s="452">
        <v>31</v>
      </c>
      <c r="U60" s="452" t="s">
        <v>288</v>
      </c>
      <c r="V60" s="454"/>
    </row>
    <row r="61" spans="13:22" ht="12" customHeight="1">
      <c r="M61" s="451" t="s">
        <v>448</v>
      </c>
      <c r="N61" s="452">
        <v>22</v>
      </c>
      <c r="O61" s="471">
        <f>$N$14/N61</f>
        <v>56213.740250149247</v>
      </c>
      <c r="P61" s="462">
        <f>N61*$M$15</f>
        <v>2.7646015351590023</v>
      </c>
      <c r="Q61" s="459">
        <v>0.02</v>
      </c>
      <c r="R61" s="459"/>
      <c r="S61" s="452" t="s">
        <v>449</v>
      </c>
      <c r="T61" s="452">
        <v>30</v>
      </c>
      <c r="U61" s="452" t="s">
        <v>289</v>
      </c>
      <c r="V61" s="454"/>
    </row>
    <row r="62" spans="13:22" ht="12" customHeight="1">
      <c r="M62" s="451" t="s">
        <v>13</v>
      </c>
      <c r="N62" s="452">
        <v>3</v>
      </c>
      <c r="O62" s="471">
        <f>$N$14/N62</f>
        <v>412234.09516776114</v>
      </c>
      <c r="P62" s="462">
        <f>N62*$M$15</f>
        <v>0.37699111843077304</v>
      </c>
      <c r="Q62" s="459">
        <v>0</v>
      </c>
      <c r="R62" s="459"/>
      <c r="S62" s="452" t="s">
        <v>450</v>
      </c>
      <c r="T62" s="452">
        <v>97</v>
      </c>
      <c r="U62" s="452" t="s">
        <v>290</v>
      </c>
      <c r="V62" s="454"/>
    </row>
    <row r="63" spans="13:22" ht="12" customHeight="1">
      <c r="M63" s="451" t="s">
        <v>14</v>
      </c>
      <c r="N63" s="452">
        <v>12</v>
      </c>
      <c r="O63" s="471">
        <f>$N$14/N63</f>
        <v>103058.52379194029</v>
      </c>
      <c r="P63" s="462">
        <f>N63*$M$15</f>
        <v>1.5079644737230922</v>
      </c>
      <c r="Q63" s="459">
        <v>0.01</v>
      </c>
      <c r="R63" s="459"/>
      <c r="S63" s="452" t="s">
        <v>451</v>
      </c>
      <c r="T63" s="452">
        <v>31</v>
      </c>
      <c r="U63" s="452" t="s">
        <v>291</v>
      </c>
      <c r="V63" s="454"/>
    </row>
    <row r="64" spans="13:22" ht="12" customHeight="1">
      <c r="M64" s="451" t="s">
        <v>15</v>
      </c>
      <c r="N64" s="452">
        <v>181</v>
      </c>
      <c r="O64" s="471">
        <f>$N$14/N64</f>
        <v>6832.6093121728363</v>
      </c>
      <c r="P64" s="462">
        <f>N64*$M$15</f>
        <v>22.745130811989974</v>
      </c>
      <c r="Q64" s="459">
        <v>0.15</v>
      </c>
      <c r="R64" s="459"/>
      <c r="S64" s="452" t="s">
        <v>452</v>
      </c>
      <c r="T64" s="452">
        <v>31</v>
      </c>
      <c r="U64" s="452" t="s">
        <v>292</v>
      </c>
      <c r="V64" s="454"/>
    </row>
    <row r="65" spans="13:22" ht="12" customHeight="1">
      <c r="M65" s="451" t="s">
        <v>16</v>
      </c>
      <c r="N65" s="452" t="s">
        <v>49</v>
      </c>
      <c r="O65" s="471"/>
      <c r="P65" s="462"/>
      <c r="Q65" s="460"/>
      <c r="R65" s="460"/>
      <c r="S65" s="452" t="s">
        <v>293</v>
      </c>
      <c r="T65" s="452">
        <v>19</v>
      </c>
      <c r="U65" s="452" t="s">
        <v>293</v>
      </c>
      <c r="V65" s="454"/>
    </row>
    <row r="66" spans="13:22" ht="12" customHeight="1">
      <c r="M66" s="451" t="s">
        <v>17</v>
      </c>
      <c r="N66" s="452">
        <v>37</v>
      </c>
      <c r="O66" s="471">
        <f>$N$14/N66</f>
        <v>33424.386094683337</v>
      </c>
      <c r="P66" s="462">
        <f>N66*$M$15</f>
        <v>4.6495571273128675</v>
      </c>
      <c r="Q66" s="459">
        <v>0.03</v>
      </c>
      <c r="R66" s="459"/>
      <c r="S66" s="452" t="s">
        <v>453</v>
      </c>
      <c r="T66" s="452">
        <v>16</v>
      </c>
      <c r="U66" s="452" t="s">
        <v>294</v>
      </c>
      <c r="V66" s="454"/>
    </row>
    <row r="67" spans="13:22" ht="12" customHeight="1">
      <c r="M67" s="451" t="s">
        <v>18</v>
      </c>
      <c r="N67" s="452">
        <v>4</v>
      </c>
      <c r="O67" s="471">
        <f>$N$14/N67</f>
        <v>309175.57137582084</v>
      </c>
      <c r="P67" s="462">
        <f>N67*$M$15</f>
        <v>0.50265482457436406</v>
      </c>
      <c r="Q67" s="459">
        <v>0</v>
      </c>
      <c r="R67" s="459"/>
      <c r="S67" s="452" t="s">
        <v>441</v>
      </c>
      <c r="T67" s="452">
        <v>20</v>
      </c>
      <c r="U67" s="452" t="s">
        <v>295</v>
      </c>
      <c r="V67" s="454"/>
    </row>
    <row r="68" spans="13:22" ht="12" customHeight="1">
      <c r="M68" s="451" t="s">
        <v>19</v>
      </c>
      <c r="N68" s="452">
        <v>1</v>
      </c>
      <c r="O68" s="471">
        <f>$N$14/N68</f>
        <v>1236702.2855032834</v>
      </c>
      <c r="P68" s="462">
        <f>N68*$M$15</f>
        <v>0.12566370614359101</v>
      </c>
      <c r="Q68" s="459">
        <v>0</v>
      </c>
      <c r="R68" s="459"/>
      <c r="S68" s="452" t="s">
        <v>443</v>
      </c>
      <c r="T68" s="452">
        <v>26</v>
      </c>
      <c r="U68" s="452" t="s">
        <v>296</v>
      </c>
      <c r="V68" s="454"/>
    </row>
    <row r="69" spans="13:22" ht="12" customHeight="1">
      <c r="M69" s="451" t="s">
        <v>20</v>
      </c>
      <c r="N69" s="452">
        <v>1</v>
      </c>
      <c r="O69" s="471">
        <f>$N$14/N69</f>
        <v>1236702.2855032834</v>
      </c>
      <c r="P69" s="462">
        <f>N69*$M$15</f>
        <v>0.12566370614359101</v>
      </c>
      <c r="Q69" s="459">
        <v>0</v>
      </c>
      <c r="R69" s="459"/>
      <c r="S69" s="452" t="s">
        <v>443</v>
      </c>
      <c r="T69" s="452">
        <v>21</v>
      </c>
      <c r="U69" s="452" t="s">
        <v>297</v>
      </c>
      <c r="V69" s="454"/>
    </row>
    <row r="70" spans="13:22" ht="12" customHeight="1">
      <c r="M70" s="451" t="s">
        <v>398</v>
      </c>
      <c r="N70" s="452">
        <v>24</v>
      </c>
      <c r="O70" s="471">
        <f>$N$14/N70</f>
        <v>51529.261895970143</v>
      </c>
      <c r="P70" s="462">
        <f>N70*$M$15</f>
        <v>3.0159289474461843</v>
      </c>
      <c r="Q70" s="459">
        <v>0.02</v>
      </c>
      <c r="R70" s="459"/>
      <c r="S70" s="452" t="s">
        <v>454</v>
      </c>
      <c r="T70" s="452">
        <v>28</v>
      </c>
      <c r="U70" s="452" t="s">
        <v>298</v>
      </c>
      <c r="V70" s="454"/>
    </row>
    <row r="71" spans="13:22" ht="12" customHeight="1">
      <c r="M71" s="451" t="s">
        <v>21</v>
      </c>
      <c r="N71" s="452">
        <v>9</v>
      </c>
      <c r="O71" s="471">
        <f>$N$14/N71</f>
        <v>137411.36505592038</v>
      </c>
      <c r="P71" s="462">
        <f>N71*$M$15</f>
        <v>1.1309733552923191</v>
      </c>
      <c r="Q71" s="459">
        <v>0.01</v>
      </c>
      <c r="R71" s="459"/>
      <c r="S71" s="452" t="s">
        <v>455</v>
      </c>
      <c r="T71" s="452">
        <v>65</v>
      </c>
      <c r="U71" s="452" t="s">
        <v>299</v>
      </c>
      <c r="V71" s="454"/>
    </row>
    <row r="72" spans="13:22" ht="12" customHeight="1" thickBot="1">
      <c r="M72" s="446" t="s">
        <v>251</v>
      </c>
      <c r="N72" s="448">
        <v>332</v>
      </c>
      <c r="O72" s="471">
        <f>$N$14/N72</f>
        <v>3725.0068840460344</v>
      </c>
      <c r="P72" s="462">
        <f>N72*$M$15</f>
        <v>41.720350439672217</v>
      </c>
      <c r="Q72" s="461">
        <v>0.28000000000000003</v>
      </c>
      <c r="R72" s="461"/>
      <c r="S72" s="448" t="s">
        <v>456</v>
      </c>
      <c r="T72" s="448">
        <v>25</v>
      </c>
      <c r="U72" s="448" t="s">
        <v>300</v>
      </c>
      <c r="V72" s="454"/>
    </row>
    <row r="73" spans="13:22" ht="12" customHeight="1" thickBot="1">
      <c r="M73" s="455" t="s">
        <v>457</v>
      </c>
      <c r="N73" s="456">
        <v>1198</v>
      </c>
      <c r="O73" s="472">
        <f>SUM(O55:O72)</f>
        <v>5190316.7319439575</v>
      </c>
      <c r="P73" s="463">
        <f>SUM(P55:P72)</f>
        <v>150.54511996002208</v>
      </c>
      <c r="Q73" s="456">
        <v>100</v>
      </c>
      <c r="R73" s="456"/>
      <c r="S73" s="457" t="s">
        <v>458</v>
      </c>
      <c r="T73" s="457"/>
      <c r="U73" s="457" t="s">
        <v>459</v>
      </c>
      <c r="V73" s="454"/>
    </row>
    <row r="74" spans="13:22" ht="12" customHeight="1">
      <c r="P74" s="312"/>
    </row>
    <row r="75" spans="13:22">
      <c r="O75" s="473">
        <v>9376924.0691429954</v>
      </c>
    </row>
    <row r="76" spans="13:22">
      <c r="O76" s="473">
        <v>11867669.52500915</v>
      </c>
    </row>
    <row r="77" spans="13:22">
      <c r="N77" s="312"/>
      <c r="O77" s="312"/>
    </row>
    <row r="113" spans="15:15">
      <c r="O113">
        <f t="shared" ref="O113:O139" si="0">P93/100</f>
        <v>0</v>
      </c>
    </row>
    <row r="114" spans="15:15">
      <c r="O114">
        <f t="shared" si="0"/>
        <v>0</v>
      </c>
    </row>
    <row r="115" spans="15:15">
      <c r="O115">
        <f t="shared" si="0"/>
        <v>0</v>
      </c>
    </row>
    <row r="116" spans="15:15">
      <c r="O116">
        <f t="shared" si="0"/>
        <v>0</v>
      </c>
    </row>
    <row r="117" spans="15:15">
      <c r="O117">
        <f t="shared" si="0"/>
        <v>0</v>
      </c>
    </row>
    <row r="118" spans="15:15">
      <c r="O118">
        <f t="shared" si="0"/>
        <v>0</v>
      </c>
    </row>
    <row r="119" spans="15:15">
      <c r="O119">
        <f t="shared" si="0"/>
        <v>0</v>
      </c>
    </row>
    <row r="120" spans="15:15">
      <c r="O120">
        <f t="shared" si="0"/>
        <v>0</v>
      </c>
    </row>
    <row r="121" spans="15:15">
      <c r="O121">
        <f t="shared" si="0"/>
        <v>0</v>
      </c>
    </row>
    <row r="122" spans="15:15">
      <c r="O122">
        <f t="shared" si="0"/>
        <v>0</v>
      </c>
    </row>
    <row r="123" spans="15:15">
      <c r="O123">
        <f t="shared" si="0"/>
        <v>0</v>
      </c>
    </row>
    <row r="124" spans="15:15">
      <c r="O124">
        <f t="shared" si="0"/>
        <v>0</v>
      </c>
    </row>
    <row r="125" spans="15:15">
      <c r="O125">
        <f t="shared" si="0"/>
        <v>0</v>
      </c>
    </row>
    <row r="126" spans="15:15">
      <c r="O126">
        <f t="shared" si="0"/>
        <v>0</v>
      </c>
    </row>
    <row r="127" spans="15:15">
      <c r="O127">
        <f t="shared" si="0"/>
        <v>0</v>
      </c>
    </row>
    <row r="128" spans="15:15">
      <c r="O128">
        <f t="shared" si="0"/>
        <v>0</v>
      </c>
    </row>
    <row r="129" spans="15:15">
      <c r="O129">
        <f t="shared" si="0"/>
        <v>0</v>
      </c>
    </row>
    <row r="130" spans="15:15">
      <c r="O130">
        <f t="shared" si="0"/>
        <v>0</v>
      </c>
    </row>
    <row r="131" spans="15:15">
      <c r="O131">
        <f t="shared" si="0"/>
        <v>0</v>
      </c>
    </row>
    <row r="132" spans="15:15">
      <c r="O132">
        <f t="shared" si="0"/>
        <v>0</v>
      </c>
    </row>
    <row r="133" spans="15:15">
      <c r="O133">
        <f t="shared" si="0"/>
        <v>0</v>
      </c>
    </row>
    <row r="134" spans="15:15">
      <c r="O134">
        <f t="shared" si="0"/>
        <v>0</v>
      </c>
    </row>
    <row r="135" spans="15:15">
      <c r="O135">
        <f t="shared" si="0"/>
        <v>0</v>
      </c>
    </row>
    <row r="136" spans="15:15">
      <c r="O136">
        <f t="shared" si="0"/>
        <v>0</v>
      </c>
    </row>
    <row r="137" spans="15:15">
      <c r="O137">
        <f t="shared" si="0"/>
        <v>0</v>
      </c>
    </row>
    <row r="138" spans="15:15">
      <c r="O138">
        <f t="shared" si="0"/>
        <v>0</v>
      </c>
    </row>
    <row r="139" spans="15:15">
      <c r="O139">
        <f t="shared" si="0"/>
        <v>0</v>
      </c>
    </row>
    <row r="140" spans="15:15">
      <c r="O140">
        <f t="shared" ref="O140:O174" si="1">P120/100</f>
        <v>0</v>
      </c>
    </row>
    <row r="141" spans="15:15">
      <c r="O141">
        <f t="shared" si="1"/>
        <v>0</v>
      </c>
    </row>
    <row r="142" spans="15:15">
      <c r="O142">
        <f t="shared" si="1"/>
        <v>0</v>
      </c>
    </row>
    <row r="143" spans="15:15">
      <c r="O143">
        <f t="shared" si="1"/>
        <v>0</v>
      </c>
    </row>
    <row r="144" spans="15:15">
      <c r="O144">
        <f t="shared" si="1"/>
        <v>0</v>
      </c>
    </row>
    <row r="145" spans="15:15">
      <c r="O145">
        <f t="shared" si="1"/>
        <v>0</v>
      </c>
    </row>
    <row r="146" spans="15:15">
      <c r="O146">
        <f t="shared" si="1"/>
        <v>0</v>
      </c>
    </row>
    <row r="147" spans="15:15">
      <c r="O147">
        <f t="shared" si="1"/>
        <v>0</v>
      </c>
    </row>
    <row r="148" spans="15:15">
      <c r="O148">
        <f t="shared" si="1"/>
        <v>0</v>
      </c>
    </row>
    <row r="149" spans="15:15">
      <c r="O149">
        <f t="shared" si="1"/>
        <v>0</v>
      </c>
    </row>
    <row r="150" spans="15:15">
      <c r="O150">
        <f t="shared" si="1"/>
        <v>0</v>
      </c>
    </row>
    <row r="151" spans="15:15">
      <c r="O151">
        <f t="shared" si="1"/>
        <v>0</v>
      </c>
    </row>
    <row r="152" spans="15:15">
      <c r="O152">
        <f t="shared" si="1"/>
        <v>0</v>
      </c>
    </row>
    <row r="153" spans="15:15">
      <c r="O153">
        <f t="shared" si="1"/>
        <v>0</v>
      </c>
    </row>
    <row r="154" spans="15:15">
      <c r="O154">
        <f t="shared" si="1"/>
        <v>0</v>
      </c>
    </row>
    <row r="155" spans="15:15">
      <c r="O155">
        <f t="shared" si="1"/>
        <v>0</v>
      </c>
    </row>
    <row r="156" spans="15:15">
      <c r="O156">
        <f t="shared" si="1"/>
        <v>0</v>
      </c>
    </row>
    <row r="157" spans="15:15">
      <c r="O157">
        <f t="shared" si="1"/>
        <v>0</v>
      </c>
    </row>
    <row r="158" spans="15:15">
      <c r="O158">
        <f t="shared" si="1"/>
        <v>0</v>
      </c>
    </row>
    <row r="159" spans="15:15">
      <c r="O159">
        <f t="shared" si="1"/>
        <v>0</v>
      </c>
    </row>
    <row r="160" spans="15:15">
      <c r="O160">
        <f t="shared" si="1"/>
        <v>0</v>
      </c>
    </row>
    <row r="161" spans="15:15">
      <c r="O161">
        <f t="shared" si="1"/>
        <v>0</v>
      </c>
    </row>
    <row r="162" spans="15:15">
      <c r="O162">
        <f t="shared" si="1"/>
        <v>0</v>
      </c>
    </row>
    <row r="163" spans="15:15">
      <c r="O163">
        <f t="shared" si="1"/>
        <v>0</v>
      </c>
    </row>
    <row r="164" spans="15:15">
      <c r="O164">
        <f t="shared" si="1"/>
        <v>0</v>
      </c>
    </row>
    <row r="165" spans="15:15">
      <c r="O165">
        <f t="shared" si="1"/>
        <v>0</v>
      </c>
    </row>
    <row r="166" spans="15:15">
      <c r="O166">
        <f t="shared" si="1"/>
        <v>0</v>
      </c>
    </row>
    <row r="167" spans="15:15">
      <c r="O167">
        <f t="shared" si="1"/>
        <v>0</v>
      </c>
    </row>
    <row r="168" spans="15:15">
      <c r="O168">
        <f t="shared" si="1"/>
        <v>0</v>
      </c>
    </row>
    <row r="169" spans="15:15">
      <c r="O169">
        <f t="shared" si="1"/>
        <v>0</v>
      </c>
    </row>
    <row r="170" spans="15:15">
      <c r="O170">
        <f t="shared" si="1"/>
        <v>0</v>
      </c>
    </row>
    <row r="171" spans="15:15">
      <c r="O171">
        <f t="shared" si="1"/>
        <v>0</v>
      </c>
    </row>
    <row r="172" spans="15:15">
      <c r="O172">
        <f t="shared" si="1"/>
        <v>0</v>
      </c>
    </row>
    <row r="173" spans="15:15">
      <c r="O173">
        <f t="shared" si="1"/>
        <v>0</v>
      </c>
    </row>
    <row r="174" spans="15:15">
      <c r="O174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AC1B-01E4-4531-816A-D4BA0ED40A2A}">
  <dimension ref="A1:AV8"/>
  <sheetViews>
    <sheetView workbookViewId="0">
      <selection activeCell="K26" sqref="K26"/>
    </sheetView>
  </sheetViews>
  <sheetFormatPr defaultRowHeight="14.4"/>
  <cols>
    <col min="1" max="1" width="29.33203125" style="101" customWidth="1"/>
    <col min="2" max="16384" width="8.88671875" style="94"/>
  </cols>
  <sheetData>
    <row r="1" spans="1:48" s="5" customFormat="1" ht="12">
      <c r="A1" s="98"/>
      <c r="D1" s="330" t="s">
        <v>42</v>
      </c>
      <c r="E1" s="330"/>
      <c r="F1" s="330"/>
      <c r="I1" s="6"/>
      <c r="J1" s="6"/>
      <c r="K1" s="6"/>
      <c r="R1" s="82"/>
      <c r="S1" s="82"/>
      <c r="T1" s="82"/>
      <c r="U1" s="82"/>
      <c r="V1" s="82"/>
      <c r="W1" s="331"/>
      <c r="X1" s="331"/>
      <c r="Y1" s="331"/>
      <c r="Z1" s="331"/>
      <c r="AA1" s="331"/>
      <c r="AB1" s="331"/>
      <c r="AC1" s="331"/>
      <c r="AD1" s="83"/>
      <c r="AE1" s="83"/>
      <c r="AF1" s="83"/>
    </row>
    <row r="2" spans="1:48" s="5" customFormat="1" ht="15" customHeight="1">
      <c r="A2" s="98"/>
      <c r="B2" s="6" t="s">
        <v>47</v>
      </c>
      <c r="C2" s="6" t="s">
        <v>47</v>
      </c>
      <c r="D2" s="6" t="s">
        <v>56</v>
      </c>
      <c r="E2" s="6" t="s">
        <v>39</v>
      </c>
      <c r="F2" s="6" t="s">
        <v>40</v>
      </c>
      <c r="G2" s="6" t="s">
        <v>47</v>
      </c>
      <c r="H2" s="6" t="s">
        <v>47</v>
      </c>
      <c r="I2" s="67" t="s">
        <v>48</v>
      </c>
      <c r="J2" s="6" t="s">
        <v>44</v>
      </c>
      <c r="K2" s="6" t="s">
        <v>43</v>
      </c>
      <c r="L2" s="6" t="s">
        <v>45</v>
      </c>
      <c r="M2" s="6" t="s">
        <v>45</v>
      </c>
      <c r="N2" s="6" t="s">
        <v>45</v>
      </c>
      <c r="O2" s="5" t="s">
        <v>46</v>
      </c>
      <c r="P2" s="5" t="s">
        <v>46</v>
      </c>
      <c r="Q2" s="5" t="s">
        <v>46</v>
      </c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70"/>
      <c r="AJ2" s="70"/>
      <c r="AK2" s="70"/>
      <c r="AL2" s="329" t="s">
        <v>152</v>
      </c>
      <c r="AM2" s="329"/>
      <c r="AN2" s="329"/>
      <c r="AO2" s="70"/>
      <c r="AP2" s="56" t="s">
        <v>149</v>
      </c>
      <c r="AQ2" s="56" t="s">
        <v>151</v>
      </c>
      <c r="AR2" s="56" t="s">
        <v>150</v>
      </c>
      <c r="AS2" s="5" t="s">
        <v>57</v>
      </c>
      <c r="AT2" s="5" t="s">
        <v>1</v>
      </c>
      <c r="AU2" s="5" t="s">
        <v>2</v>
      </c>
      <c r="AV2" s="5" t="s">
        <v>38</v>
      </c>
    </row>
    <row r="3" spans="1:48" s="5" customFormat="1">
      <c r="A3" s="99" t="s">
        <v>62</v>
      </c>
      <c r="B3" s="84"/>
      <c r="C3" s="84"/>
      <c r="D3" s="85" t="s">
        <v>60</v>
      </c>
      <c r="E3" s="84"/>
      <c r="F3" s="84"/>
      <c r="G3" s="84"/>
      <c r="H3" s="84"/>
      <c r="I3" s="86"/>
      <c r="J3" s="84"/>
      <c r="K3" s="87"/>
      <c r="L3" s="84"/>
      <c r="M3" s="84"/>
      <c r="N3" s="88"/>
      <c r="O3" s="84"/>
      <c r="P3" s="90" t="s">
        <v>61</v>
      </c>
      <c r="Q3" s="86"/>
      <c r="S3" s="86"/>
      <c r="T3" s="86"/>
      <c r="U3" s="86"/>
      <c r="V3" s="86"/>
      <c r="W3" s="89"/>
      <c r="X3" s="89"/>
      <c r="Y3" s="89"/>
      <c r="AA3" s="56"/>
      <c r="AB3" s="56"/>
      <c r="AC3" s="56"/>
      <c r="AD3" s="56"/>
      <c r="AE3" s="56"/>
      <c r="AF3" s="56"/>
    </row>
    <row r="4" spans="1:48" s="5" customFormat="1">
      <c r="A4" s="98" t="s">
        <v>58</v>
      </c>
      <c r="B4" s="84"/>
      <c r="C4" s="84"/>
      <c r="D4" s="84"/>
      <c r="E4" s="84"/>
      <c r="F4" s="84"/>
      <c r="G4" s="84"/>
      <c r="H4" s="84"/>
      <c r="I4" s="86"/>
      <c r="J4" s="84">
        <v>34.200000000000003</v>
      </c>
      <c r="K4" s="87"/>
      <c r="L4" s="84"/>
      <c r="M4" s="84"/>
      <c r="N4" s="88"/>
      <c r="O4" s="84"/>
      <c r="P4" s="93" t="s">
        <v>59</v>
      </c>
      <c r="Q4" s="86"/>
      <c r="S4" s="92"/>
      <c r="T4" s="92"/>
      <c r="U4" s="86"/>
      <c r="V4" s="86"/>
      <c r="W4" s="89"/>
      <c r="X4" s="89"/>
      <c r="Y4" s="89"/>
      <c r="AA4" s="56"/>
      <c r="AB4" s="56"/>
      <c r="AC4" s="56"/>
      <c r="AD4" s="56"/>
      <c r="AE4" s="56"/>
      <c r="AF4" s="56"/>
      <c r="AH4" s="94"/>
      <c r="AI4" s="94"/>
      <c r="AJ4" s="94"/>
      <c r="AK4" s="94"/>
      <c r="AL4" s="94"/>
      <c r="AM4" s="95"/>
    </row>
    <row r="5" spans="1:48" s="5" customFormat="1">
      <c r="A5" s="100" t="s">
        <v>153</v>
      </c>
      <c r="B5" s="84"/>
      <c r="C5" s="84"/>
      <c r="D5" s="84"/>
      <c r="E5" s="84"/>
      <c r="F5" s="84"/>
      <c r="G5" s="84"/>
      <c r="H5" s="84"/>
      <c r="I5" s="84"/>
      <c r="J5" s="84">
        <v>81.400000000000006</v>
      </c>
      <c r="K5" s="87"/>
      <c r="L5" s="84"/>
      <c r="M5" s="84"/>
      <c r="N5" s="84"/>
      <c r="O5" s="91"/>
      <c r="P5" s="93" t="s">
        <v>59</v>
      </c>
      <c r="Q5" s="84"/>
      <c r="S5" s="84"/>
      <c r="T5" s="84"/>
      <c r="U5" s="84"/>
      <c r="V5" s="84"/>
      <c r="W5" s="89"/>
      <c r="X5" s="89"/>
      <c r="Y5" s="89"/>
      <c r="AA5" s="56"/>
      <c r="AB5" s="56"/>
      <c r="AC5" s="56"/>
      <c r="AD5" s="56"/>
      <c r="AE5" s="56"/>
      <c r="AF5" s="56"/>
      <c r="AH5" s="94"/>
      <c r="AI5" s="94"/>
      <c r="AJ5" s="94"/>
      <c r="AK5" s="96"/>
      <c r="AL5" s="94"/>
      <c r="AM5" s="95"/>
    </row>
    <row r="6" spans="1:48" s="5" customFormat="1" ht="12">
      <c r="A6" s="98"/>
      <c r="I6" s="6"/>
      <c r="J6" s="6"/>
      <c r="K6" s="6"/>
      <c r="W6" s="97"/>
      <c r="X6" s="97"/>
      <c r="Y6" s="97"/>
      <c r="AA6" s="56"/>
      <c r="AB6" s="56"/>
      <c r="AC6" s="56"/>
      <c r="AD6" s="56"/>
      <c r="AE6" s="56"/>
      <c r="AF6" s="56"/>
    </row>
    <row r="7" spans="1:48" s="5" customFormat="1" ht="13.2">
      <c r="A7" s="100" t="s">
        <v>64</v>
      </c>
      <c r="I7" s="6"/>
      <c r="J7" s="6"/>
      <c r="K7" s="6"/>
      <c r="W7" s="97"/>
      <c r="X7" s="97"/>
      <c r="Y7" s="97"/>
      <c r="Z7" s="56"/>
      <c r="AA7" s="56"/>
      <c r="AB7" s="56"/>
      <c r="AC7" s="56"/>
      <c r="AD7" s="56"/>
      <c r="AE7" s="56"/>
      <c r="AF7" s="56"/>
    </row>
    <row r="8" spans="1:48" s="5" customFormat="1" ht="12">
      <c r="A8" s="98"/>
      <c r="I8" s="6"/>
      <c r="J8" s="6"/>
      <c r="K8" s="6"/>
      <c r="W8" s="97"/>
      <c r="X8" s="97"/>
      <c r="Y8" s="97"/>
      <c r="Z8" s="56"/>
      <c r="AA8" s="56"/>
      <c r="AB8" s="56"/>
      <c r="AC8" s="56"/>
      <c r="AD8" s="56"/>
      <c r="AE8" s="56"/>
      <c r="AF8" s="56"/>
    </row>
  </sheetData>
  <mergeCells count="7">
    <mergeCell ref="AL2:AN2"/>
    <mergeCell ref="D1:F1"/>
    <mergeCell ref="W1:AC1"/>
    <mergeCell ref="W2:Y2"/>
    <mergeCell ref="Z2:AB2"/>
    <mergeCell ref="AC2:AE2"/>
    <mergeCell ref="AF2:A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06AB-E108-4274-92BA-04E4DC396438}">
  <dimension ref="A1:BH187"/>
  <sheetViews>
    <sheetView tabSelected="1" topLeftCell="S82" zoomScale="88" zoomScaleNormal="88" workbookViewId="0">
      <selection activeCell="AG104" sqref="AG104:AH104"/>
    </sheetView>
  </sheetViews>
  <sheetFormatPr defaultRowHeight="11.4"/>
  <cols>
    <col min="1" max="1" width="20.21875" style="154" customWidth="1"/>
    <col min="2" max="2" width="10.109375" style="145" customWidth="1"/>
    <col min="3" max="3" width="17.33203125" style="143" customWidth="1"/>
    <col min="4" max="4" width="8.6640625" style="143" customWidth="1"/>
    <col min="5" max="9" width="9.21875" style="145" customWidth="1"/>
    <col min="10" max="10" width="9.21875" style="167" customWidth="1"/>
    <col min="11" max="12" width="9.21875" style="168" customWidth="1"/>
    <col min="13" max="13" width="14.21875" style="168" customWidth="1"/>
    <col min="14" max="15" width="9.21875" style="168" customWidth="1"/>
    <col min="16" max="16" width="9.21875" style="145" customWidth="1"/>
    <col min="17" max="17" width="21.88671875" style="145" customWidth="1"/>
    <col min="18" max="25" width="12.5546875" style="153" customWidth="1"/>
    <col min="26" max="26" width="14" style="145" customWidth="1"/>
    <col min="27" max="27" width="14.44140625" style="145" bestFit="1" customWidth="1"/>
    <col min="28" max="28" width="15.88671875" style="145" customWidth="1"/>
    <col min="29" max="29" width="13.88671875" style="145" bestFit="1" customWidth="1"/>
    <col min="30" max="37" width="13.88671875" style="145" customWidth="1"/>
    <col min="38" max="39" width="12.21875" style="145" bestFit="1" customWidth="1"/>
    <col min="40" max="40" width="10.88671875" style="145" bestFit="1" customWidth="1"/>
    <col min="41" max="41" width="10.88671875" style="143" customWidth="1"/>
    <col min="42" max="42" width="12.33203125" style="143" customWidth="1"/>
    <col min="43" max="43" width="10.21875" style="145" bestFit="1" customWidth="1"/>
    <col min="44" max="54" width="8.88671875" style="145"/>
    <col min="55" max="58" width="9.33203125" style="145" bestFit="1" customWidth="1"/>
    <col min="59" max="16384" width="8.88671875" style="145"/>
  </cols>
  <sheetData>
    <row r="1" spans="1:42" s="138" customFormat="1" ht="48" customHeight="1">
      <c r="A1" s="135"/>
      <c r="B1" s="136"/>
      <c r="C1" s="137"/>
      <c r="D1" s="137"/>
      <c r="E1" s="138" t="s">
        <v>67</v>
      </c>
      <c r="J1" s="160" t="s">
        <v>247</v>
      </c>
      <c r="K1" s="160"/>
      <c r="L1" s="161"/>
      <c r="M1" s="162"/>
      <c r="N1" s="162"/>
      <c r="O1" s="162"/>
      <c r="R1" s="139"/>
      <c r="S1" s="139"/>
      <c r="T1" s="139"/>
      <c r="U1" s="139"/>
      <c r="V1" s="139"/>
      <c r="W1" s="139"/>
      <c r="X1" s="139"/>
      <c r="Y1" s="139"/>
      <c r="AO1" s="137"/>
      <c r="AP1" s="137"/>
    </row>
    <row r="2" spans="1:42" s="138" customFormat="1" ht="34.200000000000003">
      <c r="A2" s="135" t="s">
        <v>162</v>
      </c>
      <c r="B2" s="137" t="s">
        <v>56</v>
      </c>
      <c r="C2" s="137" t="s">
        <v>44</v>
      </c>
      <c r="D2" s="137" t="s">
        <v>43</v>
      </c>
      <c r="E2" s="138" t="s">
        <v>23</v>
      </c>
      <c r="F2" s="138" t="s">
        <v>24</v>
      </c>
      <c r="G2" s="138" t="s">
        <v>25</v>
      </c>
      <c r="H2" s="138" t="s">
        <v>26</v>
      </c>
      <c r="I2" s="138" t="s">
        <v>27</v>
      </c>
      <c r="J2" s="162" t="s">
        <v>245</v>
      </c>
      <c r="K2" s="162" t="s">
        <v>142</v>
      </c>
      <c r="L2" s="162" t="s">
        <v>152</v>
      </c>
      <c r="M2" s="162" t="s">
        <v>25</v>
      </c>
      <c r="N2" s="162" t="s">
        <v>26</v>
      </c>
      <c r="O2" s="162" t="s">
        <v>27</v>
      </c>
      <c r="Q2" s="140"/>
      <c r="R2" s="135" t="s">
        <v>162</v>
      </c>
      <c r="S2" s="137" t="s">
        <v>56</v>
      </c>
      <c r="T2" s="137" t="s">
        <v>44</v>
      </c>
      <c r="U2" s="137" t="s">
        <v>43</v>
      </c>
      <c r="V2" s="141" t="s">
        <v>244</v>
      </c>
      <c r="W2" s="137" t="s">
        <v>160</v>
      </c>
      <c r="X2" s="137" t="s">
        <v>150</v>
      </c>
      <c r="Y2" s="139" t="s">
        <v>57</v>
      </c>
      <c r="Z2" s="139" t="s">
        <v>1</v>
      </c>
      <c r="AA2" s="139" t="s">
        <v>2</v>
      </c>
      <c r="AB2" s="139" t="s">
        <v>164</v>
      </c>
      <c r="AC2" s="139" t="s">
        <v>163</v>
      </c>
      <c r="AD2" s="139"/>
      <c r="AE2" s="139"/>
      <c r="AF2" s="139"/>
      <c r="AG2" s="139"/>
      <c r="AH2" s="139"/>
      <c r="AI2" s="139"/>
      <c r="AJ2" s="139"/>
      <c r="AK2" s="139"/>
      <c r="AO2" s="137"/>
      <c r="AP2" s="137"/>
    </row>
    <row r="3" spans="1:42" s="138" customFormat="1" ht="22.2" customHeight="1">
      <c r="A3" s="71" t="s">
        <v>3</v>
      </c>
      <c r="B3" s="137">
        <v>37.6</v>
      </c>
      <c r="C3" s="137" t="s">
        <v>223</v>
      </c>
      <c r="D3" s="133" t="s">
        <v>49</v>
      </c>
      <c r="E3" s="133"/>
      <c r="F3" s="133"/>
      <c r="G3" s="133"/>
      <c r="H3" s="133"/>
      <c r="I3" s="133"/>
      <c r="J3" s="163" t="s">
        <v>139</v>
      </c>
      <c r="K3" s="163" t="s">
        <v>139</v>
      </c>
      <c r="L3" s="163" t="s">
        <v>148</v>
      </c>
      <c r="M3" s="163" t="s">
        <v>157</v>
      </c>
      <c r="N3" s="163" t="s">
        <v>156</v>
      </c>
      <c r="O3" s="163" t="s">
        <v>148</v>
      </c>
      <c r="P3" s="133"/>
      <c r="Q3" s="133"/>
      <c r="R3" s="71" t="s">
        <v>3</v>
      </c>
      <c r="S3" s="137">
        <v>37.6</v>
      </c>
      <c r="T3" s="137" t="s">
        <v>223</v>
      </c>
      <c r="U3" s="133" t="s">
        <v>49</v>
      </c>
      <c r="V3" s="142">
        <v>86.421207829540734</v>
      </c>
      <c r="W3" s="139">
        <v>13972.324834978504</v>
      </c>
      <c r="X3" s="139">
        <v>32.544631176127496</v>
      </c>
      <c r="Y3" s="139">
        <v>1095.8686145081178</v>
      </c>
      <c r="Z3" s="139">
        <v>5080.8453945376377</v>
      </c>
      <c r="AA3" s="139">
        <v>89.740298635177354</v>
      </c>
      <c r="AB3" s="139">
        <v>3733.6559000582574</v>
      </c>
      <c r="AC3" s="139">
        <v>1267.2323831493384</v>
      </c>
      <c r="AD3" s="139"/>
      <c r="AE3" s="139"/>
      <c r="AF3" s="139"/>
      <c r="AG3" s="139"/>
      <c r="AH3" s="139"/>
      <c r="AI3" s="139"/>
      <c r="AJ3" s="139"/>
      <c r="AK3" s="139"/>
      <c r="AO3" s="137"/>
      <c r="AP3" s="137"/>
    </row>
    <row r="4" spans="1:42">
      <c r="A4" s="4" t="s">
        <v>4</v>
      </c>
      <c r="B4" s="143">
        <v>7.7</v>
      </c>
      <c r="C4" s="143" t="s">
        <v>224</v>
      </c>
      <c r="D4" s="133" t="s">
        <v>49</v>
      </c>
      <c r="E4" s="144"/>
      <c r="F4" s="144"/>
      <c r="G4" s="144"/>
      <c r="H4" s="144"/>
      <c r="I4" s="144"/>
      <c r="J4" s="164"/>
      <c r="K4" s="164"/>
      <c r="L4" s="164"/>
      <c r="M4" s="164"/>
      <c r="N4" s="164"/>
      <c r="O4" s="164"/>
      <c r="P4" s="144"/>
      <c r="Q4" s="144"/>
      <c r="R4" s="4" t="s">
        <v>4</v>
      </c>
      <c r="S4" s="143">
        <v>7.7</v>
      </c>
      <c r="T4" s="143" t="s">
        <v>224</v>
      </c>
      <c r="U4" s="133" t="s">
        <v>49</v>
      </c>
      <c r="V4" s="142">
        <v>27.071590837057343</v>
      </c>
      <c r="W4" s="139">
        <v>4376.8545994065289</v>
      </c>
      <c r="X4" s="139">
        <v>10.194661255844034</v>
      </c>
      <c r="Y4" s="139">
        <v>343.28271367894342</v>
      </c>
      <c r="Z4" s="139">
        <v>1591.5834906932832</v>
      </c>
      <c r="AA4" s="139">
        <v>28.111301696207356</v>
      </c>
      <c r="AB4" s="139">
        <v>1169.5740824648847</v>
      </c>
      <c r="AC4" s="139">
        <v>396.96270665128799</v>
      </c>
      <c r="AD4" s="139"/>
      <c r="AE4" s="139"/>
      <c r="AF4" s="139"/>
      <c r="AG4" s="139"/>
      <c r="AH4" s="139"/>
      <c r="AI4" s="139"/>
      <c r="AJ4" s="139"/>
      <c r="AK4" s="139"/>
    </row>
    <row r="5" spans="1:42" s="151" customFormat="1">
      <c r="A5" s="132" t="s">
        <v>5</v>
      </c>
      <c r="B5" s="146">
        <v>13.8</v>
      </c>
      <c r="C5" s="146" t="s">
        <v>225</v>
      </c>
      <c r="D5" s="134">
        <v>98</v>
      </c>
      <c r="E5" s="147">
        <v>39.808131246659997</v>
      </c>
      <c r="F5" s="147">
        <v>50.123225328196298</v>
      </c>
      <c r="G5" s="147">
        <v>0.94576815725459296</v>
      </c>
      <c r="H5" s="147">
        <v>0.86392571302985199</v>
      </c>
      <c r="I5" s="147">
        <v>8.2537273500443291</v>
      </c>
      <c r="J5" s="165">
        <v>17</v>
      </c>
      <c r="K5" s="165">
        <v>68.764733360129512</v>
      </c>
      <c r="L5" s="165">
        <v>276.46750524109018</v>
      </c>
      <c r="M5" s="165">
        <v>2.5857843137254908</v>
      </c>
      <c r="N5" s="165">
        <v>8.9444679949131007</v>
      </c>
      <c r="O5" s="166">
        <v>1.3</v>
      </c>
      <c r="P5" s="148"/>
      <c r="Q5" s="147"/>
      <c r="R5" s="132" t="s">
        <v>5</v>
      </c>
      <c r="S5" s="146">
        <v>13.8</v>
      </c>
      <c r="T5" s="146" t="s">
        <v>225</v>
      </c>
      <c r="U5" s="134">
        <v>98</v>
      </c>
      <c r="V5" s="149">
        <v>41.492292977862711</v>
      </c>
      <c r="W5" s="150">
        <v>6708.3509961848249</v>
      </c>
      <c r="X5" s="150">
        <v>15.625231416342068</v>
      </c>
      <c r="Y5" s="150">
        <v>526.1451761713588</v>
      </c>
      <c r="Z5" s="150">
        <v>2439.4003622490272</v>
      </c>
      <c r="AA5" s="150">
        <v>43.085844972637432</v>
      </c>
      <c r="AB5" s="150">
        <v>1792.5917535115545</v>
      </c>
      <c r="AC5" s="150">
        <v>608.41983852364478</v>
      </c>
      <c r="AD5" s="150"/>
      <c r="AE5" s="150"/>
      <c r="AF5" s="150"/>
      <c r="AG5" s="150"/>
      <c r="AH5" s="150"/>
      <c r="AI5" s="150"/>
      <c r="AJ5" s="150"/>
      <c r="AK5" s="150"/>
      <c r="AO5" s="146"/>
      <c r="AP5" s="146"/>
    </row>
    <row r="6" spans="1:42" s="151" customFormat="1">
      <c r="A6" s="132" t="s">
        <v>6</v>
      </c>
      <c r="B6" s="146">
        <v>8.9</v>
      </c>
      <c r="C6" s="146" t="s">
        <v>226</v>
      </c>
      <c r="D6" s="134">
        <v>4</v>
      </c>
      <c r="E6" s="152">
        <v>100</v>
      </c>
      <c r="F6" s="152">
        <v>0</v>
      </c>
      <c r="G6" s="152">
        <v>0</v>
      </c>
      <c r="H6" s="152">
        <v>0</v>
      </c>
      <c r="I6" s="152">
        <v>0</v>
      </c>
      <c r="J6" s="165">
        <v>30</v>
      </c>
      <c r="K6" s="165">
        <v>124.69524544090287</v>
      </c>
      <c r="L6" s="164" t="s">
        <v>49</v>
      </c>
      <c r="M6" s="164" t="s">
        <v>49</v>
      </c>
      <c r="N6" s="164" t="s">
        <v>49</v>
      </c>
      <c r="O6" s="164" t="s">
        <v>49</v>
      </c>
      <c r="P6" s="152"/>
      <c r="Q6" s="152"/>
      <c r="R6" s="132" t="s">
        <v>6</v>
      </c>
      <c r="S6" s="146">
        <v>8.9</v>
      </c>
      <c r="T6" s="146" t="s">
        <v>226</v>
      </c>
      <c r="U6" s="134">
        <v>4</v>
      </c>
      <c r="V6" s="149">
        <v>30.096192649706779</v>
      </c>
      <c r="W6" s="150">
        <v>4865.8632592502881</v>
      </c>
      <c r="X6" s="150">
        <v>11.333670451844597</v>
      </c>
      <c r="Y6" s="150">
        <v>381.6363340588461</v>
      </c>
      <c r="Z6" s="150">
        <v>1769.4048215455591</v>
      </c>
      <c r="AA6" s="150">
        <v>31.25206629249756</v>
      </c>
      <c r="AB6" s="150">
        <v>1300.2459706129848</v>
      </c>
      <c r="AC6" s="150">
        <v>441.31378041412648</v>
      </c>
      <c r="AD6" s="150"/>
      <c r="AE6" s="150"/>
      <c r="AF6" s="150"/>
      <c r="AG6" s="150"/>
      <c r="AH6" s="150"/>
      <c r="AI6" s="150"/>
      <c r="AJ6" s="150"/>
      <c r="AK6" s="150"/>
      <c r="AO6" s="146"/>
      <c r="AP6" s="146"/>
    </row>
    <row r="7" spans="1:42" s="151" customFormat="1">
      <c r="A7" s="132" t="s">
        <v>7</v>
      </c>
      <c r="B7" s="146">
        <v>5.7</v>
      </c>
      <c r="C7" s="146" t="s">
        <v>227</v>
      </c>
      <c r="D7" s="134">
        <v>101</v>
      </c>
      <c r="E7" s="152">
        <v>100</v>
      </c>
      <c r="F7" s="152">
        <v>0</v>
      </c>
      <c r="G7" s="152">
        <v>0</v>
      </c>
      <c r="H7" s="152">
        <v>0</v>
      </c>
      <c r="I7" s="152">
        <v>0</v>
      </c>
      <c r="J7" s="165">
        <v>22</v>
      </c>
      <c r="K7" s="165">
        <v>90.010258065617492</v>
      </c>
      <c r="L7" s="164" t="s">
        <v>49</v>
      </c>
      <c r="M7" s="164" t="s">
        <v>49</v>
      </c>
      <c r="N7" s="164" t="s">
        <v>49</v>
      </c>
      <c r="O7" s="164" t="s">
        <v>49</v>
      </c>
      <c r="P7" s="152"/>
      <c r="Q7" s="152"/>
      <c r="R7" s="132" t="s">
        <v>7</v>
      </c>
      <c r="S7" s="146">
        <v>5.7</v>
      </c>
      <c r="T7" s="146" t="s">
        <v>227</v>
      </c>
      <c r="U7" s="134">
        <v>101</v>
      </c>
      <c r="V7" s="149">
        <v>21.724694134200288</v>
      </c>
      <c r="W7" s="150">
        <v>3512.3841821595106</v>
      </c>
      <c r="X7" s="150">
        <v>8.1811186833476857</v>
      </c>
      <c r="Y7" s="150">
        <v>275.48111232623614</v>
      </c>
      <c r="Z7" s="150">
        <v>1277.2306116943676</v>
      </c>
      <c r="AA7" s="150">
        <v>22.559052208647895</v>
      </c>
      <c r="AB7" s="150">
        <v>938.57207586251559</v>
      </c>
      <c r="AC7" s="150">
        <v>318.55879606744662</v>
      </c>
      <c r="AD7" s="150"/>
      <c r="AE7" s="150"/>
      <c r="AF7" s="150"/>
      <c r="AG7" s="150"/>
      <c r="AH7" s="150"/>
      <c r="AI7" s="150"/>
      <c r="AJ7" s="150"/>
      <c r="AK7" s="150"/>
      <c r="AO7" s="146"/>
      <c r="AP7" s="146"/>
    </row>
    <row r="8" spans="1:42">
      <c r="A8" s="4" t="s">
        <v>8</v>
      </c>
      <c r="B8" s="143">
        <v>14.1</v>
      </c>
      <c r="C8" s="143" t="s">
        <v>228</v>
      </c>
      <c r="D8" s="133">
        <v>1</v>
      </c>
      <c r="E8" s="144"/>
      <c r="F8" s="144"/>
      <c r="G8" s="144"/>
      <c r="H8" s="144"/>
      <c r="I8" s="144"/>
      <c r="J8" s="165"/>
      <c r="K8" s="165"/>
      <c r="L8" s="164"/>
      <c r="M8" s="164"/>
      <c r="N8" s="164"/>
      <c r="O8" s="164"/>
      <c r="P8" s="144"/>
      <c r="Q8" s="144"/>
      <c r="R8" s="4" t="s">
        <v>8</v>
      </c>
      <c r="S8" s="143">
        <v>14.1</v>
      </c>
      <c r="T8" s="143" t="s">
        <v>228</v>
      </c>
      <c r="U8" s="133">
        <v>1</v>
      </c>
      <c r="V8" s="142">
        <v>42.157143531107629</v>
      </c>
      <c r="W8" s="139">
        <v>6815.8420638284997</v>
      </c>
      <c r="X8" s="139">
        <v>15.87560185880659</v>
      </c>
      <c r="Y8" s="139">
        <v>534.57584814341169</v>
      </c>
      <c r="Z8" s="139">
        <v>2478.4880232103633</v>
      </c>
      <c r="AA8" s="139">
        <v>43.776229760057248</v>
      </c>
      <c r="AB8" s="139">
        <v>1821.3152954883815</v>
      </c>
      <c r="AC8" s="139">
        <v>618.16883616191581</v>
      </c>
      <c r="AD8" s="139"/>
      <c r="AE8" s="139"/>
      <c r="AF8" s="139"/>
      <c r="AG8" s="139"/>
      <c r="AH8" s="139"/>
      <c r="AI8" s="139"/>
      <c r="AJ8" s="139"/>
      <c r="AK8" s="139"/>
    </row>
    <row r="9" spans="1:42">
      <c r="A9" s="4" t="s">
        <v>9</v>
      </c>
      <c r="B9" s="143">
        <v>9</v>
      </c>
      <c r="C9" s="143" t="s">
        <v>229</v>
      </c>
      <c r="D9" s="133">
        <v>43</v>
      </c>
      <c r="E9" s="144"/>
      <c r="F9" s="144"/>
      <c r="G9" s="144"/>
      <c r="H9" s="144"/>
      <c r="I9" s="144"/>
      <c r="J9" s="165"/>
      <c r="K9" s="165"/>
      <c r="L9" s="164"/>
      <c r="M9" s="164"/>
      <c r="N9" s="164"/>
      <c r="O9" s="164"/>
      <c r="P9" s="144"/>
      <c r="Q9" s="144"/>
      <c r="R9" s="4" t="s">
        <v>9</v>
      </c>
      <c r="S9" s="143">
        <v>9</v>
      </c>
      <c r="T9" s="143" t="s">
        <v>229</v>
      </c>
      <c r="U9" s="133">
        <v>43</v>
      </c>
      <c r="V9" s="142">
        <v>30.349023141785832</v>
      </c>
      <c r="W9" s="139">
        <v>4906.7401441288685</v>
      </c>
      <c r="X9" s="139">
        <v>11.428881746866313</v>
      </c>
      <c r="Y9" s="139">
        <v>384.84236424540143</v>
      </c>
      <c r="Z9" s="139">
        <v>1784.2691433195885</v>
      </c>
      <c r="AA9" s="139">
        <v>31.514606986305097</v>
      </c>
      <c r="AB9" s="139">
        <v>1311.169007702764</v>
      </c>
      <c r="AC9" s="139">
        <v>445.0211457131872</v>
      </c>
      <c r="AD9" s="139"/>
      <c r="AE9" s="139"/>
      <c r="AF9" s="139"/>
      <c r="AG9" s="139"/>
      <c r="AH9" s="139"/>
      <c r="AI9" s="139"/>
      <c r="AJ9" s="139"/>
      <c r="AK9" s="139"/>
    </row>
    <row r="10" spans="1:42">
      <c r="A10" s="4" t="s">
        <v>10</v>
      </c>
      <c r="B10" s="143">
        <v>9.1</v>
      </c>
      <c r="C10" s="143" t="s">
        <v>230</v>
      </c>
      <c r="D10" s="133">
        <v>325</v>
      </c>
      <c r="E10" s="144"/>
      <c r="F10" s="144"/>
      <c r="G10" s="144"/>
      <c r="H10" s="144"/>
      <c r="I10" s="144"/>
      <c r="J10" s="165"/>
      <c r="K10" s="165"/>
      <c r="L10" s="164"/>
      <c r="M10" s="164"/>
      <c r="N10" s="164"/>
      <c r="O10" s="164"/>
      <c r="P10" s="144"/>
      <c r="Q10" s="144"/>
      <c r="R10" s="4" t="s">
        <v>10</v>
      </c>
      <c r="S10" s="143">
        <v>9.1</v>
      </c>
      <c r="T10" s="143" t="s">
        <v>230</v>
      </c>
      <c r="U10" s="133">
        <v>325</v>
      </c>
      <c r="V10" s="142">
        <v>30.592489541565666</v>
      </c>
      <c r="W10" s="139">
        <v>4946.1030703082424</v>
      </c>
      <c r="X10" s="139">
        <v>11.52056669762797</v>
      </c>
      <c r="Y10" s="139">
        <v>387.92965257319548</v>
      </c>
      <c r="Z10" s="139">
        <v>1798.5829346575426</v>
      </c>
      <c r="AA10" s="139">
        <v>31.767423950712363</v>
      </c>
      <c r="AB10" s="139">
        <v>1321.6874878632925</v>
      </c>
      <c r="AC10" s="139">
        <v>448.5912011863569</v>
      </c>
      <c r="AD10" s="139"/>
      <c r="AE10" s="139"/>
      <c r="AF10" s="139"/>
      <c r="AG10" s="139"/>
      <c r="AH10" s="139"/>
      <c r="AI10" s="139"/>
      <c r="AJ10" s="139"/>
      <c r="AK10" s="139"/>
    </row>
    <row r="11" spans="1:42">
      <c r="A11" s="4" t="s">
        <v>11</v>
      </c>
      <c r="B11" s="143">
        <v>9</v>
      </c>
      <c r="C11" s="143" t="s">
        <v>231</v>
      </c>
      <c r="D11" s="133">
        <v>22</v>
      </c>
      <c r="E11" s="144"/>
      <c r="F11" s="144"/>
      <c r="G11" s="144"/>
      <c r="H11" s="144"/>
      <c r="I11" s="144"/>
      <c r="J11" s="165"/>
      <c r="K11" s="165"/>
      <c r="L11" s="164"/>
      <c r="M11" s="164"/>
      <c r="N11" s="164"/>
      <c r="O11" s="164"/>
      <c r="P11" s="144"/>
      <c r="Q11" s="144"/>
      <c r="R11" s="4" t="s">
        <v>11</v>
      </c>
      <c r="S11" s="143">
        <v>9</v>
      </c>
      <c r="T11" s="143" t="s">
        <v>231</v>
      </c>
      <c r="U11" s="133">
        <v>22</v>
      </c>
      <c r="V11" s="142">
        <v>30.349023141785832</v>
      </c>
      <c r="W11" s="139">
        <v>4906.7401441288685</v>
      </c>
      <c r="X11" s="139">
        <v>11.428881746866313</v>
      </c>
      <c r="Y11" s="139">
        <v>384.84236424540143</v>
      </c>
      <c r="Z11" s="139">
        <v>1784.2691433195885</v>
      </c>
      <c r="AA11" s="139">
        <v>31.514606986305097</v>
      </c>
      <c r="AB11" s="139">
        <v>1311.169007702764</v>
      </c>
      <c r="AC11" s="139">
        <v>445.0211457131872</v>
      </c>
      <c r="AD11" s="139"/>
      <c r="AE11" s="139"/>
      <c r="AF11" s="139"/>
      <c r="AG11" s="139"/>
      <c r="AH11" s="139"/>
      <c r="AI11" s="139"/>
      <c r="AJ11" s="139"/>
      <c r="AK11" s="139"/>
    </row>
    <row r="12" spans="1:42">
      <c r="A12" s="4" t="s">
        <v>12</v>
      </c>
      <c r="B12" s="143">
        <v>14.6</v>
      </c>
      <c r="C12" s="143" t="s">
        <v>232</v>
      </c>
      <c r="D12" s="133" t="s">
        <v>49</v>
      </c>
      <c r="E12" s="144"/>
      <c r="F12" s="144"/>
      <c r="G12" s="144"/>
      <c r="H12" s="144"/>
      <c r="I12" s="144"/>
      <c r="J12" s="165"/>
      <c r="K12" s="165"/>
      <c r="L12" s="164"/>
      <c r="M12" s="164"/>
      <c r="N12" s="164"/>
      <c r="O12" s="164"/>
      <c r="P12" s="144"/>
      <c r="Q12" s="144"/>
      <c r="R12" s="4" t="s">
        <v>12</v>
      </c>
      <c r="S12" s="143">
        <v>14.6</v>
      </c>
      <c r="T12" s="143" t="s">
        <v>232</v>
      </c>
      <c r="U12" s="133" t="s">
        <v>49</v>
      </c>
      <c r="V12" s="142">
        <v>43.243378237817645</v>
      </c>
      <c r="W12" s="139">
        <v>6991.4612729364753</v>
      </c>
      <c r="X12" s="139">
        <v>16.28465779297397</v>
      </c>
      <c r="Y12" s="139">
        <v>548.34990375972359</v>
      </c>
      <c r="Z12" s="139">
        <v>2542.3495537950816</v>
      </c>
      <c r="AA12" s="139">
        <v>44.904182370489643</v>
      </c>
      <c r="AB12" s="139">
        <v>1868.2438992815073</v>
      </c>
      <c r="AC12" s="139">
        <v>634.09677596528809</v>
      </c>
      <c r="AD12" s="139"/>
      <c r="AE12" s="139"/>
      <c r="AF12" s="139"/>
      <c r="AG12" s="139"/>
      <c r="AH12" s="139"/>
      <c r="AI12" s="139"/>
      <c r="AJ12" s="139"/>
      <c r="AK12" s="139"/>
    </row>
    <row r="13" spans="1:42">
      <c r="A13" s="4" t="s">
        <v>13</v>
      </c>
      <c r="B13" s="143">
        <v>44</v>
      </c>
      <c r="C13" s="143" t="s">
        <v>233</v>
      </c>
      <c r="D13" s="133">
        <v>3</v>
      </c>
      <c r="E13" s="144"/>
      <c r="F13" s="144"/>
      <c r="G13" s="144"/>
      <c r="H13" s="144"/>
      <c r="I13" s="144"/>
      <c r="J13" s="165"/>
      <c r="K13" s="165"/>
      <c r="L13" s="164"/>
      <c r="M13" s="164"/>
      <c r="N13" s="164"/>
      <c r="O13" s="164"/>
      <c r="P13" s="144"/>
      <c r="Q13" s="144"/>
      <c r="R13" s="4" t="s">
        <v>13</v>
      </c>
      <c r="S13" s="143">
        <v>44</v>
      </c>
      <c r="T13" s="143" t="s">
        <v>233</v>
      </c>
      <c r="U13" s="133">
        <v>3</v>
      </c>
      <c r="V13" s="142">
        <v>96.96517575846724</v>
      </c>
      <c r="W13" s="139">
        <v>15677.04233028523</v>
      </c>
      <c r="X13" s="139">
        <v>36.515294812959176</v>
      </c>
      <c r="Y13" s="139">
        <v>1229.5719474733514</v>
      </c>
      <c r="Z13" s="139">
        <v>5700.7426655582658</v>
      </c>
      <c r="AA13" s="139">
        <v>100.68921793989179</v>
      </c>
      <c r="AB13" s="139">
        <v>4189.1870023949778</v>
      </c>
      <c r="AC13" s="139">
        <v>1421.8432471027627</v>
      </c>
      <c r="AD13" s="139"/>
      <c r="AE13" s="139"/>
      <c r="AF13" s="139"/>
      <c r="AG13" s="139"/>
      <c r="AH13" s="139"/>
      <c r="AI13" s="139"/>
      <c r="AJ13" s="139"/>
      <c r="AK13" s="139"/>
    </row>
    <row r="14" spans="1:42">
      <c r="A14" s="4" t="s">
        <v>14</v>
      </c>
      <c r="B14" s="143">
        <v>9.3000000000000007</v>
      </c>
      <c r="C14" s="143" t="s">
        <v>234</v>
      </c>
      <c r="D14" s="133">
        <v>12</v>
      </c>
      <c r="E14" s="144"/>
      <c r="F14" s="144"/>
      <c r="G14" s="144"/>
      <c r="H14" s="144"/>
      <c r="I14" s="144"/>
      <c r="J14" s="165"/>
      <c r="K14" s="165"/>
      <c r="L14" s="164"/>
      <c r="M14" s="164"/>
      <c r="N14" s="164"/>
      <c r="O14" s="164"/>
      <c r="P14" s="144"/>
      <c r="Q14" s="144"/>
      <c r="R14" s="4" t="s">
        <v>14</v>
      </c>
      <c r="S14" s="143">
        <v>9.3000000000000007</v>
      </c>
      <c r="T14" s="143" t="s">
        <v>234</v>
      </c>
      <c r="U14" s="133">
        <v>12</v>
      </c>
      <c r="V14" s="142">
        <v>31.079422341125323</v>
      </c>
      <c r="W14" s="139">
        <v>5024.8289226669895</v>
      </c>
      <c r="X14" s="139">
        <v>11.703936599151278</v>
      </c>
      <c r="Y14" s="139">
        <v>394.10422922878348</v>
      </c>
      <c r="Z14" s="139">
        <v>1827.2105173334505</v>
      </c>
      <c r="AA14" s="139">
        <v>32.273057879526881</v>
      </c>
      <c r="AB14" s="139">
        <v>1342.7244481843486</v>
      </c>
      <c r="AC14" s="139">
        <v>455.73131213269625</v>
      </c>
      <c r="AD14" s="139"/>
      <c r="AE14" s="139"/>
      <c r="AF14" s="139"/>
      <c r="AG14" s="139"/>
      <c r="AH14" s="139"/>
      <c r="AI14" s="139"/>
      <c r="AJ14" s="139"/>
      <c r="AK14" s="139"/>
    </row>
    <row r="15" spans="1:42">
      <c r="A15" s="4" t="s">
        <v>15</v>
      </c>
      <c r="B15" s="143">
        <v>9.3000000000000007</v>
      </c>
      <c r="C15" s="143" t="s">
        <v>235</v>
      </c>
      <c r="D15" s="133">
        <v>181</v>
      </c>
      <c r="E15" s="144"/>
      <c r="F15" s="144"/>
      <c r="G15" s="144"/>
      <c r="H15" s="144"/>
      <c r="I15" s="144"/>
      <c r="J15" s="165"/>
      <c r="K15" s="165"/>
      <c r="L15" s="164"/>
      <c r="M15" s="164"/>
      <c r="N15" s="164"/>
      <c r="O15" s="164"/>
      <c r="P15" s="144"/>
      <c r="Q15" s="144"/>
      <c r="R15" s="4" t="s">
        <v>15</v>
      </c>
      <c r="S15" s="143">
        <v>9.3000000000000007</v>
      </c>
      <c r="T15" s="143" t="s">
        <v>235</v>
      </c>
      <c r="U15" s="133">
        <v>181</v>
      </c>
      <c r="V15" s="142">
        <v>31.079422341125323</v>
      </c>
      <c r="W15" s="139">
        <v>5024.8289226669895</v>
      </c>
      <c r="X15" s="139">
        <v>11.703936599151278</v>
      </c>
      <c r="Y15" s="139">
        <v>394.10422922878348</v>
      </c>
      <c r="Z15" s="139">
        <v>1827.2105173334505</v>
      </c>
      <c r="AA15" s="139">
        <v>32.273057879526881</v>
      </c>
      <c r="AB15" s="139">
        <v>1342.7244481843486</v>
      </c>
      <c r="AC15" s="139">
        <v>455.73131213269625</v>
      </c>
      <c r="AD15" s="139"/>
      <c r="AE15" s="139"/>
      <c r="AF15" s="139"/>
      <c r="AG15" s="139"/>
      <c r="AH15" s="139"/>
      <c r="AI15" s="139"/>
      <c r="AJ15" s="139"/>
      <c r="AK15" s="139"/>
    </row>
    <row r="16" spans="1:42" s="151" customFormat="1">
      <c r="A16" s="132" t="s">
        <v>16</v>
      </c>
      <c r="B16" s="146">
        <v>4.5999999999999996</v>
      </c>
      <c r="C16" s="146" t="s">
        <v>236</v>
      </c>
      <c r="D16" s="134" t="s">
        <v>49</v>
      </c>
      <c r="E16" s="152">
        <v>100</v>
      </c>
      <c r="F16" s="152">
        <v>0</v>
      </c>
      <c r="G16" s="152">
        <v>0</v>
      </c>
      <c r="H16" s="152">
        <v>0</v>
      </c>
      <c r="I16" s="152">
        <v>0</v>
      </c>
      <c r="J16" s="165">
        <v>19</v>
      </c>
      <c r="K16" s="165">
        <v>76.935492131085994</v>
      </c>
      <c r="L16" s="164" t="s">
        <v>49</v>
      </c>
      <c r="M16" s="164" t="s">
        <v>49</v>
      </c>
      <c r="N16" s="164" t="s">
        <v>49</v>
      </c>
      <c r="O16" s="164" t="s">
        <v>49</v>
      </c>
      <c r="P16" s="152"/>
      <c r="Q16" s="152"/>
      <c r="R16" s="132" t="s">
        <v>16</v>
      </c>
      <c r="S16" s="146">
        <v>4.5999999999999996</v>
      </c>
      <c r="T16" s="146" t="s">
        <v>236</v>
      </c>
      <c r="U16" s="134" t="s">
        <v>49</v>
      </c>
      <c r="V16" s="149">
        <v>18.568995029361712</v>
      </c>
      <c r="W16" s="150">
        <v>3002.1801005268576</v>
      </c>
      <c r="X16" s="150">
        <v>6.9927406677062329</v>
      </c>
      <c r="Y16" s="150">
        <v>235.46510592367511</v>
      </c>
      <c r="Z16" s="150">
        <v>1091.7018547370392</v>
      </c>
      <c r="AA16" s="150">
        <v>19.28215540075378</v>
      </c>
      <c r="AB16" s="150">
        <v>802.23639070490015</v>
      </c>
      <c r="AC16" s="150">
        <v>272.28538474213218</v>
      </c>
      <c r="AD16" s="150"/>
      <c r="AE16" s="150"/>
      <c r="AF16" s="150"/>
      <c r="AG16" s="150"/>
      <c r="AH16" s="150"/>
      <c r="AI16" s="150"/>
      <c r="AJ16" s="150"/>
      <c r="AK16" s="150"/>
      <c r="AO16" s="146"/>
      <c r="AP16" s="146"/>
    </row>
    <row r="17" spans="1:42" s="151" customFormat="1">
      <c r="A17" s="132" t="s">
        <v>17</v>
      </c>
      <c r="B17" s="146">
        <v>3.9</v>
      </c>
      <c r="C17" s="146" t="s">
        <v>237</v>
      </c>
      <c r="D17" s="134">
        <v>37</v>
      </c>
      <c r="E17" s="147">
        <v>71.133897912880101</v>
      </c>
      <c r="F17" s="147">
        <v>18.162194757809399</v>
      </c>
      <c r="G17" s="147">
        <v>4.6329896822766301</v>
      </c>
      <c r="H17" s="147">
        <v>4.7802462258512604</v>
      </c>
      <c r="I17" s="147">
        <v>1.15147898646382</v>
      </c>
      <c r="J17" s="165">
        <v>12</v>
      </c>
      <c r="K17" s="165">
        <v>48.398748547032696</v>
      </c>
      <c r="L17" s="165">
        <v>39.465408805031444</v>
      </c>
      <c r="M17" s="165">
        <v>5.1266339869281055</v>
      </c>
      <c r="N17" s="165">
        <v>17.733502896707645</v>
      </c>
      <c r="O17" s="166">
        <v>0.5</v>
      </c>
      <c r="P17" s="148"/>
      <c r="Q17" s="147"/>
      <c r="R17" s="132" t="s">
        <v>17</v>
      </c>
      <c r="S17" s="146">
        <v>3.9</v>
      </c>
      <c r="T17" s="146" t="s">
        <v>237</v>
      </c>
      <c r="U17" s="134">
        <v>37</v>
      </c>
      <c r="V17" s="149">
        <v>16.452710169737028</v>
      </c>
      <c r="W17" s="150">
        <v>2660.0254345061467</v>
      </c>
      <c r="X17" s="150">
        <v>6.195786864931847</v>
      </c>
      <c r="Y17" s="150">
        <v>208.62944584361935</v>
      </c>
      <c r="Z17" s="150">
        <v>967.28197618405341</v>
      </c>
      <c r="AA17" s="150">
        <v>17.084592556290669</v>
      </c>
      <c r="AB17" s="150">
        <v>710.80652469415509</v>
      </c>
      <c r="AC17" s="150">
        <v>241.25336409073438</v>
      </c>
      <c r="AD17" s="150"/>
      <c r="AE17" s="150"/>
      <c r="AF17" s="150"/>
      <c r="AG17" s="150"/>
      <c r="AH17" s="150"/>
      <c r="AI17" s="150"/>
      <c r="AJ17" s="150"/>
      <c r="AK17" s="150"/>
      <c r="AO17" s="146"/>
      <c r="AP17" s="146"/>
    </row>
    <row r="18" spans="1:42">
      <c r="A18" s="4" t="s">
        <v>18</v>
      </c>
      <c r="B18" s="143">
        <v>5.2</v>
      </c>
      <c r="C18" s="143" t="s">
        <v>238</v>
      </c>
      <c r="D18" s="133">
        <v>4</v>
      </c>
      <c r="E18" s="144"/>
      <c r="F18" s="144"/>
      <c r="G18" s="144"/>
      <c r="H18" s="144"/>
      <c r="I18" s="144"/>
      <c r="J18" s="165"/>
      <c r="K18" s="165"/>
      <c r="L18" s="164"/>
      <c r="M18" s="164"/>
      <c r="N18" s="164"/>
      <c r="O18" s="164"/>
      <c r="P18" s="144"/>
      <c r="Q18" s="144"/>
      <c r="R18" s="4" t="s">
        <v>18</v>
      </c>
      <c r="S18" s="143">
        <v>5.2</v>
      </c>
      <c r="T18" s="143" t="s">
        <v>238</v>
      </c>
      <c r="U18" s="133">
        <v>4</v>
      </c>
      <c r="V18" s="142">
        <v>20.310716197017424</v>
      </c>
      <c r="W18" s="139">
        <v>3283.7764185793017</v>
      </c>
      <c r="X18" s="139">
        <v>7.6486407000780741</v>
      </c>
      <c r="Y18" s="139">
        <v>257.55109165327855</v>
      </c>
      <c r="Z18" s="139">
        <v>1194.1005158470186</v>
      </c>
      <c r="AA18" s="139">
        <v>21.090769069205727</v>
      </c>
      <c r="AB18" s="139">
        <v>877.48397954560187</v>
      </c>
      <c r="AC18" s="139">
        <v>297.82501235788436</v>
      </c>
      <c r="AD18" s="139"/>
      <c r="AE18" s="139"/>
      <c r="AF18" s="139"/>
      <c r="AG18" s="139"/>
      <c r="AH18" s="139"/>
      <c r="AI18" s="139"/>
      <c r="AJ18" s="139"/>
      <c r="AK18" s="139"/>
    </row>
    <row r="19" spans="1:42">
      <c r="A19" s="4" t="s">
        <v>19</v>
      </c>
      <c r="B19" s="143">
        <v>7.2</v>
      </c>
      <c r="C19" s="143" t="s">
        <v>239</v>
      </c>
      <c r="D19" s="133">
        <v>1</v>
      </c>
      <c r="E19" s="144"/>
      <c r="F19" s="144"/>
      <c r="G19" s="144"/>
      <c r="H19" s="144"/>
      <c r="I19" s="144"/>
      <c r="J19" s="165"/>
      <c r="K19" s="165"/>
      <c r="L19" s="164"/>
      <c r="M19" s="164"/>
      <c r="N19" s="164"/>
      <c r="O19" s="164"/>
      <c r="P19" s="144"/>
      <c r="Q19" s="144"/>
      <c r="R19" s="4" t="s">
        <v>19</v>
      </c>
      <c r="S19" s="143">
        <v>7.2</v>
      </c>
      <c r="T19" s="143" t="s">
        <v>239</v>
      </c>
      <c r="U19" s="133">
        <v>1</v>
      </c>
      <c r="V19" s="142">
        <v>25.769982007465167</v>
      </c>
      <c r="W19" s="139">
        <v>4166.4143402167992</v>
      </c>
      <c r="X19" s="139">
        <v>9.7044994036951859</v>
      </c>
      <c r="Y19" s="139">
        <v>326.7775953111215</v>
      </c>
      <c r="Z19" s="139">
        <v>1515.059760078836</v>
      </c>
      <c r="AA19" s="139">
        <v>26.759703309568536</v>
      </c>
      <c r="AB19" s="139">
        <v>1113.340669298984</v>
      </c>
      <c r="AC19" s="139">
        <v>377.87664085241943</v>
      </c>
      <c r="AD19" s="139"/>
      <c r="AE19" s="139"/>
      <c r="AF19" s="139"/>
      <c r="AG19" s="139"/>
      <c r="AH19" s="139"/>
      <c r="AI19" s="139"/>
      <c r="AJ19" s="139"/>
      <c r="AK19" s="139"/>
    </row>
    <row r="20" spans="1:42">
      <c r="A20" s="4" t="s">
        <v>20</v>
      </c>
      <c r="B20" s="143">
        <v>5.4</v>
      </c>
      <c r="C20" s="143" t="s">
        <v>240</v>
      </c>
      <c r="D20" s="133">
        <v>1</v>
      </c>
      <c r="E20" s="144"/>
      <c r="F20" s="144"/>
      <c r="G20" s="144"/>
      <c r="H20" s="144"/>
      <c r="I20" s="144"/>
      <c r="J20" s="165"/>
      <c r="K20" s="165"/>
      <c r="L20" s="164"/>
      <c r="M20" s="164"/>
      <c r="N20" s="164"/>
      <c r="O20" s="164"/>
      <c r="P20" s="144"/>
      <c r="Q20" s="144"/>
      <c r="R20" s="4" t="s">
        <v>20</v>
      </c>
      <c r="S20" s="143">
        <v>5.4</v>
      </c>
      <c r="T20" s="143" t="s">
        <v>240</v>
      </c>
      <c r="U20" s="133">
        <v>1</v>
      </c>
      <c r="V20" s="142">
        <v>20.881925827270106</v>
      </c>
      <c r="W20" s="139">
        <v>3376.1278992309094</v>
      </c>
      <c r="X20" s="139">
        <v>7.8637476999419569</v>
      </c>
      <c r="Y20" s="139">
        <v>264.79434503771836</v>
      </c>
      <c r="Z20" s="139">
        <v>1227.6828724476034</v>
      </c>
      <c r="AA20" s="139">
        <v>21.683916562622763</v>
      </c>
      <c r="AB20" s="139">
        <v>902.16195222991803</v>
      </c>
      <c r="AC20" s="139">
        <v>306.20091173724393</v>
      </c>
      <c r="AD20" s="139"/>
      <c r="AE20" s="139"/>
      <c r="AF20" s="139"/>
      <c r="AG20" s="139"/>
      <c r="AH20" s="139"/>
      <c r="AI20" s="139"/>
      <c r="AJ20" s="139"/>
      <c r="AK20" s="139"/>
    </row>
    <row r="21" spans="1:42" s="151" customFormat="1">
      <c r="A21" s="132" t="s">
        <v>41</v>
      </c>
      <c r="B21" s="146">
        <v>8.1999999999999993</v>
      </c>
      <c r="C21" s="146" t="s">
        <v>241</v>
      </c>
      <c r="D21" s="134">
        <v>24</v>
      </c>
      <c r="E21" s="147">
        <v>79.850962796329</v>
      </c>
      <c r="F21" s="147">
        <v>11.823397365323199</v>
      </c>
      <c r="G21" s="147">
        <v>1.51008128188747</v>
      </c>
      <c r="H21" s="147">
        <v>0.97548194537678601</v>
      </c>
      <c r="I21" s="147">
        <v>5.8351805861142001</v>
      </c>
      <c r="J21" s="165">
        <v>23</v>
      </c>
      <c r="K21" s="165">
        <v>93.952086608491101</v>
      </c>
      <c r="L21" s="165">
        <v>45.327942497753817</v>
      </c>
      <c r="M21" s="165">
        <v>3.5329131652661072</v>
      </c>
      <c r="N21" s="165">
        <v>6.1103373099981848</v>
      </c>
      <c r="O21" s="166">
        <v>0.6</v>
      </c>
      <c r="P21" s="148"/>
      <c r="Q21" s="147"/>
      <c r="R21" s="132" t="s">
        <v>41</v>
      </c>
      <c r="S21" s="146">
        <v>8.1999999999999993</v>
      </c>
      <c r="T21" s="146" t="s">
        <v>241</v>
      </c>
      <c r="U21" s="134">
        <v>24</v>
      </c>
      <c r="V21" s="149">
        <v>28.345107389751842</v>
      </c>
      <c r="W21" s="150">
        <v>4582.7529824986377</v>
      </c>
      <c r="X21" s="150">
        <v>10.674244075212693</v>
      </c>
      <c r="Y21" s="150">
        <v>359.43160647048137</v>
      </c>
      <c r="Z21" s="150">
        <v>1666.4556299995047</v>
      </c>
      <c r="AA21" s="150">
        <v>29.433728894645334</v>
      </c>
      <c r="AB21" s="150">
        <v>1224.5938248430321</v>
      </c>
      <c r="AC21" s="150">
        <v>415.63684297248318</v>
      </c>
      <c r="AD21" s="150"/>
      <c r="AE21" s="150"/>
      <c r="AF21" s="150"/>
      <c r="AG21" s="150"/>
      <c r="AH21" s="150"/>
      <c r="AI21" s="150"/>
      <c r="AJ21" s="150"/>
      <c r="AK21" s="150"/>
      <c r="AO21" s="146"/>
      <c r="AP21" s="146"/>
    </row>
    <row r="22" spans="1:42">
      <c r="A22" s="4" t="s">
        <v>21</v>
      </c>
      <c r="B22" s="143">
        <v>25.4</v>
      </c>
      <c r="C22" s="143" t="s">
        <v>242</v>
      </c>
      <c r="D22" s="133">
        <v>9</v>
      </c>
      <c r="E22" s="144"/>
      <c r="F22" s="144"/>
      <c r="G22" s="144"/>
      <c r="H22" s="144"/>
      <c r="I22" s="144"/>
      <c r="J22" s="165"/>
      <c r="K22" s="165"/>
      <c r="L22" s="164"/>
      <c r="M22" s="164"/>
      <c r="N22" s="164"/>
      <c r="O22" s="164"/>
      <c r="P22" s="144"/>
      <c r="Q22" s="144"/>
      <c r="R22" s="4" t="s">
        <v>21</v>
      </c>
      <c r="S22" s="143">
        <v>25.4</v>
      </c>
      <c r="T22" s="143" t="s">
        <v>242</v>
      </c>
      <c r="U22" s="133">
        <v>9</v>
      </c>
      <c r="V22" s="142">
        <v>64.855703264427248</v>
      </c>
      <c r="W22" s="139">
        <v>10485.677950705507</v>
      </c>
      <c r="X22" s="139">
        <v>24.423460345200898</v>
      </c>
      <c r="Y22" s="139">
        <v>822.40611378082406</v>
      </c>
      <c r="Z22" s="139">
        <v>3812.9738002565482</v>
      </c>
      <c r="AA22" s="139">
        <v>67.346549826334183</v>
      </c>
      <c r="AB22" s="139">
        <v>2801.96129199301</v>
      </c>
      <c r="AC22" s="139">
        <v>951.00785412204118</v>
      </c>
      <c r="AD22" s="139"/>
      <c r="AE22" s="139"/>
      <c r="AF22" s="139"/>
      <c r="AG22" s="139"/>
      <c r="AH22" s="139"/>
      <c r="AI22" s="139"/>
      <c r="AJ22" s="139"/>
      <c r="AK22" s="139"/>
    </row>
    <row r="23" spans="1:42" s="151" customFormat="1">
      <c r="A23" s="132" t="s">
        <v>246</v>
      </c>
      <c r="B23" s="146">
        <v>6.9</v>
      </c>
      <c r="C23" s="146" t="s">
        <v>243</v>
      </c>
      <c r="D23" s="134">
        <v>332</v>
      </c>
      <c r="E23" s="147">
        <v>96.848842689453605</v>
      </c>
      <c r="F23" s="147">
        <v>1.6959643007047599E-2</v>
      </c>
      <c r="G23" s="147">
        <v>3.4002778099317003E-2</v>
      </c>
      <c r="H23" s="147">
        <v>1.44692672763051E-3</v>
      </c>
      <c r="I23" s="147">
        <v>3.0806613786169099</v>
      </c>
      <c r="J23" s="165">
        <v>24</v>
      </c>
      <c r="K23" s="165">
        <v>100.40644287219632</v>
      </c>
      <c r="L23" s="164" t="s">
        <v>49</v>
      </c>
      <c r="M23" s="164" t="s">
        <v>49</v>
      </c>
      <c r="N23" s="164" t="s">
        <v>49</v>
      </c>
      <c r="O23" s="166">
        <v>0.3</v>
      </c>
      <c r="P23" s="148"/>
      <c r="Q23" s="152"/>
      <c r="R23" s="132" t="s">
        <v>22</v>
      </c>
      <c r="S23" s="146">
        <v>6.9</v>
      </c>
      <c r="T23" s="146" t="s">
        <v>243</v>
      </c>
      <c r="U23" s="134">
        <v>332</v>
      </c>
      <c r="V23" s="149">
        <v>24.983398254330332</v>
      </c>
      <c r="W23" s="150">
        <v>4039.2418094834375</v>
      </c>
      <c r="X23" s="150">
        <v>9.408286485849839</v>
      </c>
      <c r="Y23" s="150">
        <v>316.80327917517155</v>
      </c>
      <c r="Z23" s="150">
        <v>1468.8152034485227</v>
      </c>
      <c r="AA23" s="150">
        <v>25.942910039945076</v>
      </c>
      <c r="AB23" s="150">
        <v>1079.357887241893</v>
      </c>
      <c r="AC23" s="150">
        <v>366.34261547756358</v>
      </c>
      <c r="AD23" s="150"/>
      <c r="AE23" s="150"/>
      <c r="AF23" s="150"/>
      <c r="AG23" s="150"/>
      <c r="AH23" s="150"/>
      <c r="AI23" s="150"/>
      <c r="AJ23" s="150"/>
      <c r="AK23" s="150"/>
      <c r="AO23" s="146"/>
      <c r="AP23" s="146"/>
    </row>
    <row r="24" spans="1:42">
      <c r="A24" s="4"/>
      <c r="B24" s="143"/>
      <c r="D24" s="133"/>
      <c r="E24" s="144"/>
      <c r="F24" s="144"/>
      <c r="G24" s="144"/>
      <c r="H24" s="144"/>
      <c r="I24" s="144"/>
    </row>
    <row r="25" spans="1:42" s="182" customFormat="1">
      <c r="A25" s="189"/>
      <c r="C25" s="190"/>
      <c r="D25" s="190"/>
      <c r="J25" s="190"/>
      <c r="R25" s="183"/>
      <c r="S25" s="183"/>
      <c r="T25" s="183"/>
      <c r="U25" s="183"/>
      <c r="V25" s="183"/>
      <c r="W25" s="183"/>
      <c r="X25" s="183"/>
      <c r="Y25" s="183"/>
      <c r="AO25" s="190"/>
      <c r="AP25" s="190"/>
    </row>
    <row r="26" spans="1:42" s="182" customFormat="1">
      <c r="A26" s="189"/>
      <c r="C26" s="190"/>
      <c r="D26" s="190"/>
      <c r="J26" s="190"/>
      <c r="R26" s="183"/>
      <c r="S26" s="183"/>
      <c r="T26" s="183"/>
      <c r="U26" s="183"/>
      <c r="V26" s="183"/>
      <c r="W26" s="183"/>
      <c r="X26" s="183"/>
      <c r="Y26" s="183"/>
      <c r="AO26" s="190"/>
      <c r="AP26" s="190"/>
    </row>
    <row r="27" spans="1:42" s="182" customFormat="1">
      <c r="A27" s="189"/>
      <c r="C27" s="190"/>
      <c r="D27" s="190"/>
      <c r="J27" s="190"/>
      <c r="R27" s="183" t="s">
        <v>74</v>
      </c>
      <c r="S27" s="183" t="s">
        <v>248</v>
      </c>
      <c r="T27" s="183"/>
      <c r="U27" s="183" t="s">
        <v>249</v>
      </c>
      <c r="V27" s="183" t="s">
        <v>265</v>
      </c>
      <c r="W27" s="183" t="s">
        <v>248</v>
      </c>
      <c r="X27" s="183"/>
      <c r="Y27" s="183" t="s">
        <v>249</v>
      </c>
      <c r="Z27" s="182" t="s">
        <v>250</v>
      </c>
      <c r="AA27" s="183" t="s">
        <v>248</v>
      </c>
      <c r="AC27" s="183" t="s">
        <v>249</v>
      </c>
      <c r="AD27" s="183"/>
      <c r="AE27" s="183"/>
      <c r="AF27" s="183"/>
      <c r="AG27" s="183"/>
      <c r="AH27" s="183"/>
      <c r="AI27" s="183"/>
      <c r="AJ27" s="183"/>
      <c r="AK27" s="183"/>
      <c r="AO27" s="190"/>
      <c r="AP27" s="190"/>
    </row>
    <row r="28" spans="1:42" s="182" customFormat="1" ht="34.200000000000003">
      <c r="A28" s="189"/>
      <c r="C28" s="190"/>
      <c r="D28" s="190"/>
      <c r="J28" s="190"/>
      <c r="P28" s="191" t="s">
        <v>3</v>
      </c>
      <c r="R28" s="192">
        <v>13972.324834978504</v>
      </c>
      <c r="S28" s="190">
        <v>0.55000000000000004</v>
      </c>
      <c r="T28" s="183">
        <f>R28*S28</f>
        <v>7684.7786592381781</v>
      </c>
      <c r="U28" s="193">
        <f>T28/60</f>
        <v>128.07964432063631</v>
      </c>
      <c r="V28" s="185">
        <v>402</v>
      </c>
      <c r="W28" s="190">
        <v>0.55000000000000004</v>
      </c>
      <c r="X28" s="183">
        <f>V28*W28</f>
        <v>221.10000000000002</v>
      </c>
      <c r="Y28" s="193">
        <f>X28/60</f>
        <v>3.6850000000000005</v>
      </c>
      <c r="Z28" s="192">
        <v>89.740298635177354</v>
      </c>
      <c r="AA28" s="190">
        <v>0.55000000000000004</v>
      </c>
      <c r="AB28" s="183">
        <f t="shared" ref="AB28:AB48" si="0">Z28*AA28</f>
        <v>49.357164249347548</v>
      </c>
      <c r="AC28" s="193">
        <f>AB28/60</f>
        <v>0.82261940415579249</v>
      </c>
      <c r="AD28" s="193"/>
      <c r="AE28" s="193"/>
      <c r="AF28" s="193"/>
      <c r="AG28" s="193"/>
      <c r="AH28" s="193"/>
      <c r="AI28" s="193"/>
      <c r="AJ28" s="193"/>
      <c r="AK28" s="193"/>
      <c r="AO28" s="190"/>
      <c r="AP28" s="190"/>
    </row>
    <row r="29" spans="1:42" s="182" customFormat="1">
      <c r="A29" s="189"/>
      <c r="C29" s="190"/>
      <c r="D29" s="190"/>
      <c r="J29" s="190">
        <f>17</f>
        <v>17</v>
      </c>
      <c r="P29" s="194" t="s">
        <v>4</v>
      </c>
      <c r="R29" s="192">
        <v>4376.8545994065289</v>
      </c>
      <c r="S29" s="190">
        <v>0.55000000000000004</v>
      </c>
      <c r="T29" s="183">
        <f t="shared" ref="T29:T37" si="1">R29*S29</f>
        <v>2407.2700296735911</v>
      </c>
      <c r="U29" s="193">
        <f t="shared" ref="U29:U47" si="2">T29/60</f>
        <v>40.121167161226516</v>
      </c>
      <c r="V29" s="185">
        <v>27.071590837057343</v>
      </c>
      <c r="W29" s="190">
        <v>0.55000000000000004</v>
      </c>
      <c r="X29" s="183">
        <f t="shared" ref="X29:X37" si="3">V29*W29</f>
        <v>14.88937496038154</v>
      </c>
      <c r="Y29" s="193">
        <f t="shared" ref="Y29:Y37" si="4">X29/60</f>
        <v>0.24815624933969233</v>
      </c>
      <c r="Z29" s="192">
        <v>28.111301696207356</v>
      </c>
      <c r="AA29" s="190">
        <v>0.55000000000000004</v>
      </c>
      <c r="AB29" s="183">
        <f t="shared" si="0"/>
        <v>15.461215932914047</v>
      </c>
      <c r="AC29" s="193">
        <f t="shared" ref="AC29:AC48" si="5">AB29/60</f>
        <v>0.25768693221523414</v>
      </c>
      <c r="AD29" s="193"/>
      <c r="AE29" s="193"/>
      <c r="AF29" s="193"/>
      <c r="AG29" s="193"/>
      <c r="AH29" s="193"/>
      <c r="AI29" s="193"/>
      <c r="AJ29" s="193"/>
      <c r="AK29" s="193"/>
      <c r="AO29" s="190"/>
      <c r="AP29" s="190"/>
    </row>
    <row r="30" spans="1:42" s="182" customFormat="1">
      <c r="A30" s="189"/>
      <c r="C30" s="190"/>
      <c r="D30" s="190"/>
      <c r="J30" s="190">
        <f>J29/2</f>
        <v>8.5</v>
      </c>
      <c r="K30" s="182" t="s">
        <v>361</v>
      </c>
      <c r="P30" s="194" t="s">
        <v>5</v>
      </c>
      <c r="R30" s="192">
        <v>6708.3509961848249</v>
      </c>
      <c r="S30" s="190">
        <v>0.55000000000000004</v>
      </c>
      <c r="T30" s="183">
        <f>R30*S30</f>
        <v>3689.5930479016538</v>
      </c>
      <c r="U30" s="193">
        <f t="shared" si="2"/>
        <v>61.493217465027563</v>
      </c>
      <c r="V30" s="185">
        <v>41.492292977862711</v>
      </c>
      <c r="W30" s="190">
        <v>0.55000000000000004</v>
      </c>
      <c r="X30" s="183">
        <f t="shared" si="3"/>
        <v>22.820761137824494</v>
      </c>
      <c r="Y30" s="193">
        <f t="shared" si="4"/>
        <v>0.38034601896374159</v>
      </c>
      <c r="Z30" s="192">
        <v>43.085844972637432</v>
      </c>
      <c r="AA30" s="190">
        <v>0.55000000000000004</v>
      </c>
      <c r="AB30" s="183">
        <f t="shared" si="0"/>
        <v>23.697214734950588</v>
      </c>
      <c r="AC30" s="193">
        <f t="shared" si="5"/>
        <v>0.39495357891584315</v>
      </c>
      <c r="AD30" s="193"/>
      <c r="AE30" s="193"/>
      <c r="AF30" s="193"/>
      <c r="AG30" s="193"/>
      <c r="AH30" s="193"/>
      <c r="AI30" s="193"/>
      <c r="AJ30" s="193"/>
      <c r="AK30" s="193"/>
      <c r="AO30" s="190"/>
      <c r="AP30" s="190"/>
    </row>
    <row r="31" spans="1:42" s="182" customFormat="1">
      <c r="A31" s="189"/>
      <c r="C31" s="190"/>
      <c r="D31" s="190"/>
      <c r="J31" s="190">
        <f>J30/2</f>
        <v>4.25</v>
      </c>
      <c r="K31" s="182" t="s">
        <v>362</v>
      </c>
      <c r="P31" s="194" t="s">
        <v>6</v>
      </c>
      <c r="R31" s="192">
        <v>4865.8632592502881</v>
      </c>
      <c r="S31" s="190">
        <v>0.55000000000000004</v>
      </c>
      <c r="T31" s="183">
        <f t="shared" si="1"/>
        <v>2676.2247925876586</v>
      </c>
      <c r="U31" s="193">
        <f t="shared" si="2"/>
        <v>44.603746543127642</v>
      </c>
      <c r="V31" s="185">
        <v>30.096192649706779</v>
      </c>
      <c r="W31" s="190">
        <v>0.55000000000000004</v>
      </c>
      <c r="X31" s="183">
        <f t="shared" si="3"/>
        <v>16.55290595733873</v>
      </c>
      <c r="Y31" s="193">
        <f t="shared" si="4"/>
        <v>0.27588176595564551</v>
      </c>
      <c r="Z31" s="192">
        <v>31.25206629249756</v>
      </c>
      <c r="AA31" s="190">
        <v>0.55000000000000004</v>
      </c>
      <c r="AB31" s="183">
        <f t="shared" si="0"/>
        <v>17.18863646087366</v>
      </c>
      <c r="AC31" s="193">
        <f t="shared" si="5"/>
        <v>0.28647727434789433</v>
      </c>
      <c r="AD31" s="193"/>
      <c r="AE31" s="193"/>
      <c r="AF31" s="193"/>
      <c r="AG31" s="193"/>
      <c r="AH31" s="193"/>
      <c r="AI31" s="193"/>
      <c r="AJ31" s="193"/>
      <c r="AK31" s="193"/>
      <c r="AM31" s="182">
        <f>5*70%</f>
        <v>3.5</v>
      </c>
      <c r="AO31" s="190"/>
      <c r="AP31" s="190"/>
    </row>
    <row r="32" spans="1:42" s="182" customFormat="1">
      <c r="A32" s="189"/>
      <c r="C32" s="190"/>
      <c r="D32" s="190"/>
      <c r="J32" s="190">
        <f>J31/2</f>
        <v>2.125</v>
      </c>
      <c r="K32" s="182" t="s">
        <v>363</v>
      </c>
      <c r="P32" s="194" t="s">
        <v>7</v>
      </c>
      <c r="R32" s="192">
        <v>3512.3841821595106</v>
      </c>
      <c r="S32" s="190">
        <v>0.55000000000000004</v>
      </c>
      <c r="T32" s="183">
        <f t="shared" si="1"/>
        <v>1931.8113001877309</v>
      </c>
      <c r="U32" s="193">
        <f t="shared" si="2"/>
        <v>32.196855003128846</v>
      </c>
      <c r="V32" s="185">
        <v>21.724694134200288</v>
      </c>
      <c r="W32" s="190">
        <v>0.55000000000000004</v>
      </c>
      <c r="X32" s="183">
        <f t="shared" si="3"/>
        <v>11.94858177381016</v>
      </c>
      <c r="Y32" s="193">
        <f t="shared" si="4"/>
        <v>0.19914302956350266</v>
      </c>
      <c r="Z32" s="192">
        <v>22.559052208647895</v>
      </c>
      <c r="AA32" s="190">
        <v>0.55000000000000004</v>
      </c>
      <c r="AB32" s="183">
        <f t="shared" si="0"/>
        <v>12.407478714756342</v>
      </c>
      <c r="AC32" s="193">
        <f t="shared" si="5"/>
        <v>0.20679131191260572</v>
      </c>
      <c r="AD32" s="193"/>
      <c r="AE32" s="193"/>
      <c r="AF32" s="193"/>
      <c r="AG32" s="193"/>
      <c r="AH32" s="193"/>
      <c r="AI32" s="193"/>
      <c r="AJ32" s="193"/>
      <c r="AK32" s="193"/>
      <c r="AN32" s="182" t="s">
        <v>389</v>
      </c>
      <c r="AO32" s="190"/>
      <c r="AP32" s="190"/>
    </row>
    <row r="33" spans="1:43" s="182" customFormat="1">
      <c r="A33" s="189"/>
      <c r="C33" s="190"/>
      <c r="D33" s="190"/>
      <c r="J33" s="190"/>
      <c r="P33" s="194" t="s">
        <v>8</v>
      </c>
      <c r="R33" s="192">
        <v>6815.8420638284997</v>
      </c>
      <c r="S33" s="190">
        <v>0.55000000000000004</v>
      </c>
      <c r="T33" s="183">
        <f t="shared" si="1"/>
        <v>3748.7131351056751</v>
      </c>
      <c r="U33" s="193">
        <f t="shared" si="2"/>
        <v>62.478552251761251</v>
      </c>
      <c r="V33" s="185">
        <v>42.157143531107629</v>
      </c>
      <c r="W33" s="190">
        <v>0.55000000000000004</v>
      </c>
      <c r="X33" s="183">
        <f t="shared" si="3"/>
        <v>23.186428942109199</v>
      </c>
      <c r="Y33" s="193">
        <f t="shared" si="4"/>
        <v>0.38644048236848666</v>
      </c>
      <c r="Z33" s="192">
        <v>43.776229760057248</v>
      </c>
      <c r="AA33" s="190">
        <v>0.55000000000000004</v>
      </c>
      <c r="AB33" s="183">
        <f t="shared" si="0"/>
        <v>24.07692636803149</v>
      </c>
      <c r="AC33" s="193">
        <f t="shared" si="5"/>
        <v>0.40128210613385817</v>
      </c>
      <c r="AD33" s="193"/>
      <c r="AE33" s="193"/>
      <c r="AF33" s="193"/>
      <c r="AG33" s="193"/>
      <c r="AH33" s="193"/>
      <c r="AI33" s="193"/>
      <c r="AJ33" s="193"/>
      <c r="AK33" s="193"/>
      <c r="AN33" s="182">
        <v>1.5</v>
      </c>
      <c r="AO33" s="190"/>
      <c r="AP33" s="190"/>
    </row>
    <row r="34" spans="1:43" s="182" customFormat="1">
      <c r="A34" s="189"/>
      <c r="C34" s="190"/>
      <c r="D34" s="190"/>
      <c r="J34" s="190"/>
      <c r="P34" s="194" t="s">
        <v>9</v>
      </c>
      <c r="R34" s="192">
        <v>4906.7401441288685</v>
      </c>
      <c r="S34" s="190">
        <v>0.55000000000000004</v>
      </c>
      <c r="T34" s="183">
        <f t="shared" si="1"/>
        <v>2698.7070792708778</v>
      </c>
      <c r="U34" s="193">
        <f t="shared" si="2"/>
        <v>44.978451321181296</v>
      </c>
      <c r="V34" s="185">
        <v>30.349023141785832</v>
      </c>
      <c r="W34" s="190">
        <v>0.55000000000000004</v>
      </c>
      <c r="X34" s="183">
        <f t="shared" si="3"/>
        <v>16.691962727982208</v>
      </c>
      <c r="Y34" s="193">
        <f t="shared" si="4"/>
        <v>0.27819937879970347</v>
      </c>
      <c r="Z34" s="192">
        <v>31.514606986305097</v>
      </c>
      <c r="AA34" s="190">
        <v>0.55000000000000004</v>
      </c>
      <c r="AB34" s="183">
        <f t="shared" si="0"/>
        <v>17.333033842467806</v>
      </c>
      <c r="AC34" s="193">
        <f t="shared" si="5"/>
        <v>0.28888389737446346</v>
      </c>
      <c r="AD34" s="193"/>
      <c r="AE34" s="193"/>
      <c r="AF34" s="193"/>
      <c r="AG34" s="193"/>
      <c r="AH34" s="193"/>
      <c r="AI34" s="193"/>
      <c r="AJ34" s="193"/>
      <c r="AK34" s="193"/>
      <c r="AO34" s="190"/>
      <c r="AP34" s="190"/>
    </row>
    <row r="35" spans="1:43" s="182" customFormat="1">
      <c r="A35" s="189"/>
      <c r="C35" s="190"/>
      <c r="D35" s="190"/>
      <c r="J35" s="190"/>
      <c r="P35" s="194" t="s">
        <v>10</v>
      </c>
      <c r="R35" s="192">
        <v>4946.1030703082424</v>
      </c>
      <c r="S35" s="190">
        <v>0.55000000000000004</v>
      </c>
      <c r="T35" s="183">
        <f t="shared" si="1"/>
        <v>2720.3566886695335</v>
      </c>
      <c r="U35" s="193">
        <f t="shared" si="2"/>
        <v>45.339278144492226</v>
      </c>
      <c r="V35" s="185">
        <v>30.592489541565666</v>
      </c>
      <c r="W35" s="190">
        <v>0.55000000000000004</v>
      </c>
      <c r="X35" s="183">
        <f t="shared" si="3"/>
        <v>16.825869247861117</v>
      </c>
      <c r="Y35" s="193">
        <f t="shared" si="4"/>
        <v>0.2804311541310186</v>
      </c>
      <c r="Z35" s="192">
        <v>31.767423950712363</v>
      </c>
      <c r="AA35" s="190">
        <v>0.55000000000000004</v>
      </c>
      <c r="AB35" s="183">
        <f t="shared" si="0"/>
        <v>17.4720831728918</v>
      </c>
      <c r="AC35" s="193">
        <f t="shared" si="5"/>
        <v>0.29120138621486336</v>
      </c>
      <c r="AD35" s="193"/>
      <c r="AE35" s="193"/>
      <c r="AF35" s="193"/>
      <c r="AG35" s="193"/>
      <c r="AH35" s="193"/>
      <c r="AI35" s="193"/>
      <c r="AJ35" s="193"/>
      <c r="AK35" s="193"/>
      <c r="AN35" s="182">
        <f>60/5</f>
        <v>12</v>
      </c>
      <c r="AO35" s="190" t="s">
        <v>401</v>
      </c>
      <c r="AP35" s="190" t="s">
        <v>402</v>
      </c>
    </row>
    <row r="36" spans="1:43" s="182" customFormat="1">
      <c r="A36" s="189"/>
      <c r="C36" s="190"/>
      <c r="D36" s="190"/>
      <c r="J36" s="190"/>
      <c r="P36" s="194" t="s">
        <v>11</v>
      </c>
      <c r="R36" s="192">
        <v>4906.7401441288685</v>
      </c>
      <c r="S36" s="190">
        <v>0.55000000000000004</v>
      </c>
      <c r="T36" s="183">
        <f t="shared" si="1"/>
        <v>2698.7070792708778</v>
      </c>
      <c r="U36" s="193">
        <f t="shared" si="2"/>
        <v>44.978451321181296</v>
      </c>
      <c r="V36" s="185">
        <v>30.349023141785832</v>
      </c>
      <c r="W36" s="190">
        <v>0.55000000000000004</v>
      </c>
      <c r="X36" s="183">
        <f t="shared" si="3"/>
        <v>16.691962727982208</v>
      </c>
      <c r="Y36" s="193">
        <f t="shared" si="4"/>
        <v>0.27819937879970347</v>
      </c>
      <c r="Z36" s="192">
        <v>31.514606986305097</v>
      </c>
      <c r="AA36" s="190">
        <v>0.55000000000000004</v>
      </c>
      <c r="AB36" s="183">
        <f t="shared" si="0"/>
        <v>17.333033842467806</v>
      </c>
      <c r="AC36" s="193">
        <f t="shared" si="5"/>
        <v>0.28888389737446346</v>
      </c>
      <c r="AD36" s="193"/>
      <c r="AE36" s="193"/>
      <c r="AF36" s="193"/>
      <c r="AG36" s="193"/>
      <c r="AH36" s="193"/>
      <c r="AI36" s="193"/>
      <c r="AJ36" s="193"/>
      <c r="AK36" s="193"/>
      <c r="AN36" s="182">
        <v>42</v>
      </c>
      <c r="AO36" s="190">
        <f>60/5</f>
        <v>12</v>
      </c>
      <c r="AP36" s="190">
        <f>60/10</f>
        <v>6</v>
      </c>
      <c r="AQ36" s="182" t="s">
        <v>403</v>
      </c>
    </row>
    <row r="37" spans="1:43" s="182" customFormat="1">
      <c r="A37" s="189"/>
      <c r="C37" s="190"/>
      <c r="D37" s="190"/>
      <c r="J37" s="190"/>
      <c r="P37" s="194" t="s">
        <v>12</v>
      </c>
      <c r="R37" s="192">
        <v>6991.4612729364753</v>
      </c>
      <c r="S37" s="190">
        <v>0.55000000000000004</v>
      </c>
      <c r="T37" s="183">
        <f t="shared" si="1"/>
        <v>3845.3037001150619</v>
      </c>
      <c r="U37" s="193">
        <f t="shared" si="2"/>
        <v>64.088395001917704</v>
      </c>
      <c r="V37" s="185">
        <v>43.243378237817645</v>
      </c>
      <c r="W37" s="190">
        <v>0.55000000000000004</v>
      </c>
      <c r="X37" s="183">
        <f t="shared" si="3"/>
        <v>23.783858030799706</v>
      </c>
      <c r="Y37" s="193">
        <f t="shared" si="4"/>
        <v>0.39639763384666177</v>
      </c>
      <c r="Z37" s="192">
        <v>44.904182370489643</v>
      </c>
      <c r="AA37" s="190">
        <v>0.55000000000000004</v>
      </c>
      <c r="AB37" s="183">
        <f t="shared" si="0"/>
        <v>24.697300303769307</v>
      </c>
      <c r="AC37" s="193">
        <f t="shared" si="5"/>
        <v>0.41162167172948844</v>
      </c>
      <c r="AD37" s="193"/>
      <c r="AE37" s="193"/>
      <c r="AF37" s="193"/>
      <c r="AG37" s="193"/>
      <c r="AH37" s="193"/>
      <c r="AI37" s="193"/>
      <c r="AJ37" s="193"/>
      <c r="AK37" s="193"/>
      <c r="AO37" s="190">
        <f>12/60</f>
        <v>0.2</v>
      </c>
      <c r="AP37" s="190">
        <v>0.1</v>
      </c>
    </row>
    <row r="38" spans="1:43" s="182" customFormat="1">
      <c r="A38" s="189"/>
      <c r="C38" s="190"/>
      <c r="D38" s="190"/>
      <c r="J38" s="190"/>
      <c r="P38" s="194" t="s">
        <v>13</v>
      </c>
      <c r="Q38" s="183" t="s">
        <v>51</v>
      </c>
      <c r="R38" s="192">
        <v>15677.04233028523</v>
      </c>
      <c r="S38" s="190">
        <v>0.55000000000000004</v>
      </c>
      <c r="T38" s="183">
        <f>R38*S38</f>
        <v>8622.3732816568772</v>
      </c>
      <c r="U38" s="193">
        <f>T38/60</f>
        <v>143.70622136094795</v>
      </c>
      <c r="V38" s="185">
        <v>96.96517575846724</v>
      </c>
      <c r="W38" s="190">
        <v>0.55000000000000004</v>
      </c>
      <c r="X38" s="183">
        <f>V38*W38</f>
        <v>53.330846667156983</v>
      </c>
      <c r="Y38" s="193">
        <f>X38/60</f>
        <v>0.88884744445261643</v>
      </c>
      <c r="Z38" s="192">
        <v>100.68921793989179</v>
      </c>
      <c r="AA38" s="190">
        <v>0.55000000000000004</v>
      </c>
      <c r="AB38" s="183">
        <f t="shared" si="0"/>
        <v>55.37906986694049</v>
      </c>
      <c r="AC38" s="193">
        <f>AB38/60</f>
        <v>0.92298449778234148</v>
      </c>
      <c r="AD38" s="193"/>
      <c r="AE38" s="193"/>
      <c r="AF38" s="193"/>
      <c r="AG38" s="193"/>
      <c r="AH38" s="193"/>
      <c r="AI38" s="193"/>
      <c r="AJ38" s="193"/>
      <c r="AK38" s="193"/>
      <c r="AN38" s="182">
        <v>2139</v>
      </c>
      <c r="AO38" s="190">
        <f>AN38*AO37/0.7</f>
        <v>611.14285714285722</v>
      </c>
      <c r="AP38" s="190"/>
    </row>
    <row r="39" spans="1:43" s="183" customFormat="1">
      <c r="A39" s="189"/>
      <c r="B39" s="182"/>
      <c r="C39" s="190"/>
      <c r="D39" s="190"/>
      <c r="E39" s="182"/>
      <c r="F39" s="182"/>
      <c r="G39" s="182"/>
      <c r="H39" s="182"/>
      <c r="I39" s="182"/>
      <c r="J39" s="190"/>
      <c r="K39" s="182"/>
      <c r="L39" s="182"/>
      <c r="M39" s="182"/>
      <c r="N39" s="182"/>
      <c r="O39" s="182"/>
      <c r="P39" s="194" t="s">
        <v>14</v>
      </c>
      <c r="Q39" s="182"/>
      <c r="R39" s="192">
        <v>5024.8289226669895</v>
      </c>
      <c r="S39" s="190">
        <v>0.55000000000000004</v>
      </c>
      <c r="T39" s="183">
        <f t="shared" ref="T39:T47" si="6">R39*S39</f>
        <v>2763.6559074668444</v>
      </c>
      <c r="U39" s="193">
        <f t="shared" si="2"/>
        <v>46.060931791114072</v>
      </c>
      <c r="V39" s="185">
        <v>31.079422341125323</v>
      </c>
      <c r="W39" s="190">
        <v>0.55000000000000004</v>
      </c>
      <c r="X39" s="183">
        <f t="shared" ref="X39:X48" si="7">V39*W39</f>
        <v>17.093682287618929</v>
      </c>
      <c r="Y39" s="193">
        <f t="shared" ref="Y39:Y48" si="8">X39/60</f>
        <v>0.28489470479364881</v>
      </c>
      <c r="Z39" s="192">
        <v>32.273057879526881</v>
      </c>
      <c r="AA39" s="190">
        <v>0.55000000000000004</v>
      </c>
      <c r="AB39" s="183">
        <f t="shared" si="0"/>
        <v>17.750181833739788</v>
      </c>
      <c r="AC39" s="193">
        <f t="shared" si="5"/>
        <v>0.29583636389566315</v>
      </c>
      <c r="AD39" s="193"/>
      <c r="AE39" s="193"/>
      <c r="AF39" s="193"/>
      <c r="AG39" s="193"/>
      <c r="AH39" s="193"/>
      <c r="AI39" s="193"/>
      <c r="AJ39" s="193"/>
      <c r="AK39" s="193"/>
      <c r="AL39" s="182"/>
      <c r="AN39" s="182">
        <v>10.199999999999999</v>
      </c>
      <c r="AO39" s="190">
        <f>AO38/60</f>
        <v>10.185714285714287</v>
      </c>
      <c r="AP39" s="190"/>
    </row>
    <row r="40" spans="1:43" s="182" customFormat="1">
      <c r="A40" s="189"/>
      <c r="C40" s="190"/>
      <c r="D40" s="190"/>
      <c r="J40" s="190"/>
      <c r="P40" s="194" t="s">
        <v>15</v>
      </c>
      <c r="R40" s="192">
        <v>5024.8289226669895</v>
      </c>
      <c r="S40" s="190">
        <v>0.55000000000000004</v>
      </c>
      <c r="T40" s="183">
        <f t="shared" si="6"/>
        <v>2763.6559074668444</v>
      </c>
      <c r="U40" s="193">
        <f t="shared" si="2"/>
        <v>46.060931791114072</v>
      </c>
      <c r="V40" s="185">
        <v>31.079422341125323</v>
      </c>
      <c r="W40" s="190">
        <v>0.55000000000000004</v>
      </c>
      <c r="X40" s="183">
        <f t="shared" si="7"/>
        <v>17.093682287618929</v>
      </c>
      <c r="Y40" s="193">
        <f t="shared" si="8"/>
        <v>0.28489470479364881</v>
      </c>
      <c r="Z40" s="192">
        <v>32.273057879526881</v>
      </c>
      <c r="AA40" s="190">
        <v>0.55000000000000004</v>
      </c>
      <c r="AB40" s="183">
        <f t="shared" si="0"/>
        <v>17.750181833739788</v>
      </c>
      <c r="AC40" s="193">
        <f t="shared" si="5"/>
        <v>0.29583636389566315</v>
      </c>
      <c r="AD40" s="193"/>
      <c r="AE40" s="193"/>
      <c r="AF40" s="193"/>
      <c r="AG40" s="193"/>
      <c r="AH40" s="193"/>
      <c r="AI40" s="193"/>
      <c r="AJ40" s="193"/>
      <c r="AK40" s="193"/>
      <c r="AN40" s="182">
        <v>863</v>
      </c>
      <c r="AO40" s="190"/>
    </row>
    <row r="41" spans="1:43" s="183" customFormat="1">
      <c r="A41" s="189"/>
      <c r="B41" s="182"/>
      <c r="C41" s="190"/>
      <c r="D41" s="190"/>
      <c r="E41" s="182"/>
      <c r="F41" s="182"/>
      <c r="G41" s="182"/>
      <c r="H41" s="182"/>
      <c r="I41" s="182"/>
      <c r="J41" s="190"/>
      <c r="K41" s="182"/>
      <c r="L41" s="182"/>
      <c r="N41" s="182"/>
      <c r="O41" s="182"/>
      <c r="P41" s="194" t="s">
        <v>16</v>
      </c>
      <c r="R41" s="192">
        <v>3002.1801005268576</v>
      </c>
      <c r="S41" s="190">
        <v>0.55000000000000004</v>
      </c>
      <c r="T41" s="183">
        <f t="shared" si="6"/>
        <v>1651.1990552897719</v>
      </c>
      <c r="U41" s="193">
        <f t="shared" si="2"/>
        <v>27.519984254829531</v>
      </c>
      <c r="V41" s="185">
        <v>18.568995029361712</v>
      </c>
      <c r="W41" s="190">
        <v>0.55000000000000004</v>
      </c>
      <c r="X41" s="183">
        <f t="shared" si="7"/>
        <v>10.212947266148943</v>
      </c>
      <c r="Y41" s="193">
        <f t="shared" si="8"/>
        <v>0.17021578776914906</v>
      </c>
      <c r="Z41" s="192">
        <v>19.28215540075378</v>
      </c>
      <c r="AA41" s="190">
        <v>0.55000000000000004</v>
      </c>
      <c r="AB41" s="183">
        <f t="shared" si="0"/>
        <v>10.605185470414579</v>
      </c>
      <c r="AC41" s="193">
        <f t="shared" si="5"/>
        <v>0.17675309117357632</v>
      </c>
      <c r="AD41" s="193"/>
      <c r="AE41" s="193"/>
      <c r="AF41" s="193"/>
      <c r="AG41" s="193"/>
      <c r="AH41" s="193"/>
      <c r="AI41" s="193"/>
      <c r="AJ41" s="193"/>
      <c r="AK41" s="193"/>
      <c r="AL41" s="182"/>
      <c r="AN41" s="182">
        <v>4.0999999999999996</v>
      </c>
      <c r="AO41" s="190"/>
      <c r="AP41" s="190"/>
    </row>
    <row r="42" spans="1:43" s="183" customFormat="1">
      <c r="A42" s="189"/>
      <c r="B42" s="182"/>
      <c r="C42" s="190"/>
      <c r="D42" s="190"/>
      <c r="E42" s="182"/>
      <c r="F42" s="182"/>
      <c r="G42" s="182"/>
      <c r="H42" s="182"/>
      <c r="I42" s="182"/>
      <c r="J42" s="190"/>
      <c r="K42" s="182"/>
      <c r="L42" s="182"/>
      <c r="N42" s="182"/>
      <c r="O42" s="182"/>
      <c r="P42" s="194" t="s">
        <v>17</v>
      </c>
      <c r="R42" s="192">
        <v>2660.0254345061467</v>
      </c>
      <c r="S42" s="190">
        <v>0.55000000000000004</v>
      </c>
      <c r="T42" s="183">
        <f t="shared" si="6"/>
        <v>1463.0139889783809</v>
      </c>
      <c r="U42" s="193">
        <f t="shared" si="2"/>
        <v>24.383566482973016</v>
      </c>
      <c r="V42" s="185">
        <v>16.452710169737028</v>
      </c>
      <c r="W42" s="190">
        <v>0.55000000000000004</v>
      </c>
      <c r="X42" s="183">
        <f t="shared" si="7"/>
        <v>9.0489905933553665</v>
      </c>
      <c r="Y42" s="193">
        <f t="shared" si="8"/>
        <v>0.1508165098892561</v>
      </c>
      <c r="Z42" s="192">
        <v>17.084592556290669</v>
      </c>
      <c r="AA42" s="190">
        <v>0.55000000000000004</v>
      </c>
      <c r="AB42" s="183">
        <f t="shared" si="0"/>
        <v>9.3965259059598694</v>
      </c>
      <c r="AC42" s="193">
        <f t="shared" si="5"/>
        <v>0.15660876509933117</v>
      </c>
      <c r="AD42" s="193"/>
      <c r="AE42" s="193"/>
      <c r="AF42" s="193"/>
      <c r="AG42" s="193"/>
      <c r="AH42" s="193"/>
      <c r="AI42" s="193"/>
      <c r="AJ42" s="193"/>
      <c r="AK42" s="193"/>
      <c r="AL42" s="182"/>
      <c r="AN42" s="335">
        <v>0.7</v>
      </c>
      <c r="AO42" s="190">
        <f>0.7*60</f>
        <v>42</v>
      </c>
      <c r="AP42" s="190"/>
    </row>
    <row r="43" spans="1:43" s="183" customFormat="1">
      <c r="A43" s="189"/>
      <c r="B43" s="182"/>
      <c r="C43" s="190"/>
      <c r="D43" s="190"/>
      <c r="E43" s="182"/>
      <c r="F43" s="182"/>
      <c r="G43" s="182"/>
      <c r="H43" s="182"/>
      <c r="I43" s="182"/>
      <c r="J43" s="190"/>
      <c r="K43" s="182"/>
      <c r="L43" s="182"/>
      <c r="N43" s="182"/>
      <c r="O43" s="182"/>
      <c r="P43" s="194" t="s">
        <v>18</v>
      </c>
      <c r="R43" s="192">
        <v>3283.7764185793017</v>
      </c>
      <c r="S43" s="190">
        <v>0.55000000000000004</v>
      </c>
      <c r="T43" s="183">
        <f t="shared" si="6"/>
        <v>1806.0770302186161</v>
      </c>
      <c r="U43" s="193">
        <f t="shared" si="2"/>
        <v>30.101283836976936</v>
      </c>
      <c r="V43" s="185">
        <v>20.310716197017424</v>
      </c>
      <c r="W43" s="190">
        <v>0.55000000000000004</v>
      </c>
      <c r="X43" s="183">
        <f t="shared" si="7"/>
        <v>11.170893908359584</v>
      </c>
      <c r="Y43" s="193">
        <f t="shared" si="8"/>
        <v>0.1861815651393264</v>
      </c>
      <c r="Z43" s="192">
        <v>21.090769069205727</v>
      </c>
      <c r="AA43" s="190">
        <v>0.55000000000000004</v>
      </c>
      <c r="AB43" s="183">
        <f t="shared" si="0"/>
        <v>11.599922988063151</v>
      </c>
      <c r="AC43" s="193">
        <f t="shared" si="5"/>
        <v>0.19333204980105251</v>
      </c>
      <c r="AD43" s="193"/>
      <c r="AE43" s="193"/>
      <c r="AF43" s="193"/>
      <c r="AG43" s="193"/>
      <c r="AH43" s="193"/>
      <c r="AI43" s="193"/>
      <c r="AJ43" s="193"/>
      <c r="AK43" s="193"/>
      <c r="AL43" s="182"/>
      <c r="AN43" s="182"/>
      <c r="AO43" s="190"/>
      <c r="AP43" s="190"/>
    </row>
    <row r="44" spans="1:43" s="183" customFormat="1">
      <c r="A44" s="189"/>
      <c r="B44" s="182"/>
      <c r="C44" s="190"/>
      <c r="D44" s="190"/>
      <c r="E44" s="182"/>
      <c r="F44" s="182"/>
      <c r="G44" s="182"/>
      <c r="H44" s="182"/>
      <c r="I44" s="182"/>
      <c r="J44" s="190"/>
      <c r="K44" s="182"/>
      <c r="L44" s="182"/>
      <c r="N44" s="182"/>
      <c r="O44" s="182"/>
      <c r="P44" s="194" t="s">
        <v>19</v>
      </c>
      <c r="R44" s="192">
        <v>4166.4143402167992</v>
      </c>
      <c r="S44" s="190">
        <v>0.55000000000000004</v>
      </c>
      <c r="T44" s="183">
        <f t="shared" si="6"/>
        <v>2291.5278871192399</v>
      </c>
      <c r="U44" s="193">
        <f t="shared" si="2"/>
        <v>38.192131451987329</v>
      </c>
      <c r="V44" s="185">
        <v>25.769982007465167</v>
      </c>
      <c r="W44" s="190">
        <v>0.55000000000000004</v>
      </c>
      <c r="X44" s="183">
        <f t="shared" si="7"/>
        <v>14.173490104105843</v>
      </c>
      <c r="Y44" s="193">
        <f t="shared" si="8"/>
        <v>0.23622483506843073</v>
      </c>
      <c r="Z44" s="192">
        <v>26.759703309568536</v>
      </c>
      <c r="AA44" s="190">
        <v>0.55000000000000004</v>
      </c>
      <c r="AB44" s="183">
        <f t="shared" si="0"/>
        <v>14.717836820262695</v>
      </c>
      <c r="AC44" s="193">
        <f t="shared" si="5"/>
        <v>0.24529728033771159</v>
      </c>
      <c r="AD44" s="193"/>
      <c r="AE44" s="193"/>
      <c r="AF44" s="193"/>
      <c r="AG44" s="193"/>
      <c r="AH44" s="193"/>
      <c r="AI44" s="193"/>
      <c r="AJ44" s="193"/>
      <c r="AK44" s="193"/>
      <c r="AL44" s="182"/>
      <c r="AN44" s="182">
        <f>582/12</f>
        <v>48.5</v>
      </c>
      <c r="AO44" s="190"/>
      <c r="AP44" s="190">
        <v>0.2</v>
      </c>
      <c r="AQ44" s="336">
        <v>0.1</v>
      </c>
    </row>
    <row r="45" spans="1:43" s="183" customFormat="1">
      <c r="A45" s="189"/>
      <c r="B45" s="182"/>
      <c r="C45" s="190"/>
      <c r="D45" s="190"/>
      <c r="E45" s="182"/>
      <c r="F45" s="182"/>
      <c r="G45" s="182"/>
      <c r="H45" s="182"/>
      <c r="I45" s="182"/>
      <c r="J45" s="190"/>
      <c r="K45" s="182"/>
      <c r="L45" s="182"/>
      <c r="N45" s="182"/>
      <c r="O45" s="182"/>
      <c r="P45" s="194" t="s">
        <v>20</v>
      </c>
      <c r="R45" s="192">
        <v>3376.1278992309094</v>
      </c>
      <c r="S45" s="190">
        <v>0.55000000000000004</v>
      </c>
      <c r="T45" s="183">
        <f t="shared" si="6"/>
        <v>1856.8703445770004</v>
      </c>
      <c r="U45" s="193">
        <f t="shared" si="2"/>
        <v>30.947839076283341</v>
      </c>
      <c r="V45" s="185">
        <v>20.881925827270106</v>
      </c>
      <c r="W45" s="190">
        <v>0.55000000000000004</v>
      </c>
      <c r="X45" s="183">
        <f t="shared" si="7"/>
        <v>11.485059204998558</v>
      </c>
      <c r="Y45" s="193">
        <f t="shared" si="8"/>
        <v>0.19141765341664263</v>
      </c>
      <c r="Z45" s="192">
        <v>21.683916562622763</v>
      </c>
      <c r="AA45" s="190">
        <v>0.55000000000000004</v>
      </c>
      <c r="AB45" s="183">
        <f t="shared" si="0"/>
        <v>11.926154109442521</v>
      </c>
      <c r="AC45" s="193">
        <f t="shared" si="5"/>
        <v>0.19876923515737535</v>
      </c>
      <c r="AD45" s="193"/>
      <c r="AE45" s="193"/>
      <c r="AF45" s="193"/>
      <c r="AG45" s="193"/>
      <c r="AH45" s="193"/>
      <c r="AI45" s="193"/>
      <c r="AJ45" s="193"/>
      <c r="AK45" s="193"/>
      <c r="AL45" s="182"/>
      <c r="AN45" s="182">
        <f>AN44*40%</f>
        <v>19.400000000000002</v>
      </c>
      <c r="AO45" s="190"/>
      <c r="AP45" s="190"/>
    </row>
    <row r="46" spans="1:43" s="183" customFormat="1">
      <c r="A46" s="189"/>
      <c r="B46" s="182"/>
      <c r="C46" s="190"/>
      <c r="D46" s="190"/>
      <c r="E46" s="182"/>
      <c r="F46" s="182"/>
      <c r="G46" s="182"/>
      <c r="H46" s="182"/>
      <c r="I46" s="182"/>
      <c r="J46" s="190"/>
      <c r="K46" s="182"/>
      <c r="L46" s="182"/>
      <c r="N46" s="182"/>
      <c r="O46" s="182"/>
      <c r="P46" s="194" t="s">
        <v>41</v>
      </c>
      <c r="R46" s="192">
        <v>4582.7529824986377</v>
      </c>
      <c r="S46" s="190">
        <v>0.55000000000000004</v>
      </c>
      <c r="T46" s="183">
        <f t="shared" si="6"/>
        <v>2520.5141403742509</v>
      </c>
      <c r="U46" s="193">
        <f t="shared" si="2"/>
        <v>42.008569006237515</v>
      </c>
      <c r="V46" s="185">
        <v>28.345107389751842</v>
      </c>
      <c r="W46" s="190">
        <v>0.55000000000000004</v>
      </c>
      <c r="X46" s="183">
        <f t="shared" si="7"/>
        <v>15.589809064363514</v>
      </c>
      <c r="Y46" s="193">
        <f t="shared" si="8"/>
        <v>0.25983015107272522</v>
      </c>
      <c r="Z46" s="192">
        <v>29.433728894645334</v>
      </c>
      <c r="AA46" s="190">
        <v>0.55000000000000004</v>
      </c>
      <c r="AB46" s="183">
        <f t="shared" si="0"/>
        <v>16.188550892054934</v>
      </c>
      <c r="AC46" s="193">
        <f t="shared" si="5"/>
        <v>0.26980918153424888</v>
      </c>
      <c r="AD46" s="193"/>
      <c r="AE46" s="193"/>
      <c r="AF46" s="193"/>
      <c r="AG46" s="193"/>
      <c r="AH46" s="193"/>
      <c r="AI46" s="193"/>
      <c r="AJ46" s="193"/>
      <c r="AK46" s="193"/>
      <c r="AL46" s="182"/>
      <c r="AN46" s="182"/>
      <c r="AO46" s="190"/>
      <c r="AP46" s="190"/>
    </row>
    <row r="47" spans="1:43" s="182" customFormat="1">
      <c r="A47" s="189"/>
      <c r="C47" s="190"/>
      <c r="D47" s="190"/>
      <c r="J47" s="190"/>
      <c r="P47" s="194" t="s">
        <v>21</v>
      </c>
      <c r="R47" s="192">
        <v>10485.677950705507</v>
      </c>
      <c r="S47" s="190">
        <v>0.55000000000000004</v>
      </c>
      <c r="T47" s="183">
        <f t="shared" si="6"/>
        <v>5767.1228728880296</v>
      </c>
      <c r="U47" s="193">
        <f t="shared" si="2"/>
        <v>96.118714548133823</v>
      </c>
      <c r="V47" s="185">
        <v>64.855703264427248</v>
      </c>
      <c r="W47" s="190">
        <v>0.55000000000000004</v>
      </c>
      <c r="X47" s="183">
        <f t="shared" si="7"/>
        <v>35.670636795434987</v>
      </c>
      <c r="Y47" s="193">
        <f t="shared" si="8"/>
        <v>0.59451061325724974</v>
      </c>
      <c r="Z47" s="192">
        <v>67.346549826334183</v>
      </c>
      <c r="AA47" s="190">
        <v>0.55000000000000004</v>
      </c>
      <c r="AB47" s="183">
        <f t="shared" si="0"/>
        <v>37.040602404483806</v>
      </c>
      <c r="AC47" s="193">
        <f t="shared" si="5"/>
        <v>0.61734337340806344</v>
      </c>
      <c r="AD47" s="193"/>
      <c r="AE47" s="193"/>
      <c r="AF47" s="193"/>
      <c r="AG47" s="193"/>
      <c r="AH47" s="193"/>
      <c r="AI47" s="193"/>
      <c r="AJ47" s="193"/>
      <c r="AK47" s="193"/>
      <c r="AO47" s="190">
        <f>((AN40*AO37)/0.7)/60</f>
        <v>4.10952380952381</v>
      </c>
      <c r="AP47" s="190"/>
    </row>
    <row r="48" spans="1:43" s="182" customFormat="1">
      <c r="A48" s="189"/>
      <c r="C48" s="190"/>
      <c r="D48" s="190"/>
      <c r="J48" s="190"/>
      <c r="P48" s="194" t="s">
        <v>22</v>
      </c>
      <c r="R48" s="192">
        <v>4039.2418094834375</v>
      </c>
      <c r="S48" s="190">
        <v>0.55000000000000004</v>
      </c>
      <c r="T48" s="183">
        <f>R48*S48</f>
        <v>2221.5829952158906</v>
      </c>
      <c r="U48" s="193">
        <f>T48/60</f>
        <v>37.026383253598176</v>
      </c>
      <c r="V48" s="185">
        <v>24.983398254330332</v>
      </c>
      <c r="W48" s="190">
        <v>0.55000000000000004</v>
      </c>
      <c r="X48" s="183">
        <f t="shared" si="7"/>
        <v>13.740869039881684</v>
      </c>
      <c r="Y48" s="193">
        <f t="shared" si="8"/>
        <v>0.22901448399802807</v>
      </c>
      <c r="Z48" s="192">
        <v>25.942910039945076</v>
      </c>
      <c r="AA48" s="190">
        <v>0.55000000000000004</v>
      </c>
      <c r="AB48" s="183">
        <f t="shared" si="0"/>
        <v>14.268600521969793</v>
      </c>
      <c r="AC48" s="193">
        <f t="shared" si="5"/>
        <v>0.23781000869949656</v>
      </c>
      <c r="AD48" s="193"/>
      <c r="AE48" s="193"/>
      <c r="AF48" s="193"/>
      <c r="AG48" s="193"/>
      <c r="AH48" s="193"/>
      <c r="AI48" s="193"/>
      <c r="AJ48" s="193"/>
      <c r="AK48" s="193"/>
      <c r="AO48" s="190"/>
      <c r="AP48" s="190"/>
    </row>
    <row r="49" spans="1:42" s="182" customFormat="1">
      <c r="A49" s="189"/>
      <c r="C49" s="190"/>
      <c r="D49" s="190"/>
      <c r="J49" s="190"/>
      <c r="O49" s="190"/>
      <c r="P49" s="190"/>
      <c r="R49" s="183"/>
      <c r="S49" s="183" t="s">
        <v>252</v>
      </c>
      <c r="T49" s="183"/>
      <c r="U49" s="183"/>
      <c r="V49" s="183"/>
      <c r="W49" s="183"/>
      <c r="X49" s="183"/>
      <c r="AO49" s="190"/>
      <c r="AP49" s="190"/>
    </row>
    <row r="50" spans="1:42" s="182" customFormat="1" ht="22.8">
      <c r="A50" s="189"/>
      <c r="C50" s="190"/>
      <c r="D50" s="190"/>
      <c r="J50" s="190"/>
      <c r="R50" s="183"/>
      <c r="S50" s="183" t="s">
        <v>160</v>
      </c>
      <c r="T50" s="183" t="s">
        <v>254</v>
      </c>
      <c r="U50" s="183" t="s">
        <v>255</v>
      </c>
      <c r="V50" s="183" t="s">
        <v>277</v>
      </c>
      <c r="W50" s="183" t="s">
        <v>57</v>
      </c>
      <c r="X50" s="183" t="s">
        <v>276</v>
      </c>
      <c r="Y50" s="192" t="s">
        <v>164</v>
      </c>
      <c r="Z50" s="192" t="s">
        <v>163</v>
      </c>
      <c r="AO50" s="190"/>
      <c r="AP50" s="190"/>
    </row>
    <row r="51" spans="1:42" s="182" customFormat="1">
      <c r="A51" s="189"/>
      <c r="C51" s="190"/>
      <c r="D51" s="190"/>
      <c r="J51" s="190"/>
      <c r="Q51" s="71" t="s">
        <v>3</v>
      </c>
      <c r="R51" s="182" t="s">
        <v>3</v>
      </c>
      <c r="S51" s="193">
        <v>128.07964432063631</v>
      </c>
      <c r="T51" s="193">
        <f>(V3*$W$28) /60</f>
        <v>0.79219440510412342</v>
      </c>
      <c r="U51" s="193">
        <f>(AA3*$W$28) /60</f>
        <v>0.82261940415579249</v>
      </c>
      <c r="V51" s="193">
        <f>(X3*W28) /60</f>
        <v>0.2983257857811687</v>
      </c>
      <c r="W51" s="193">
        <f>(Y3*$W$28) /60</f>
        <v>10.045462299657748</v>
      </c>
      <c r="X51" s="193">
        <f>(Z3*$W$28) /60</f>
        <v>46.574416116595017</v>
      </c>
      <c r="Y51" s="193">
        <f>(AB3*$W$28) /60</f>
        <v>34.22517908386736</v>
      </c>
      <c r="Z51" s="193">
        <f>(AC3*$W$28) /60</f>
        <v>11.616296845535603</v>
      </c>
      <c r="AB51" s="182" t="s">
        <v>280</v>
      </c>
      <c r="AO51" s="190"/>
      <c r="AP51" s="190"/>
    </row>
    <row r="52" spans="1:42" s="182" customFormat="1">
      <c r="A52" s="189"/>
      <c r="C52" s="190"/>
      <c r="D52" s="190"/>
      <c r="J52" s="190"/>
      <c r="Q52" s="4" t="s">
        <v>4</v>
      </c>
      <c r="R52" s="182" t="s">
        <v>4</v>
      </c>
      <c r="S52" s="193">
        <v>40.121167161226516</v>
      </c>
      <c r="T52" s="193">
        <f t="shared" ref="T52:T71" si="9">(V4*$W$28) /60</f>
        <v>0.24815624933969233</v>
      </c>
      <c r="U52" s="193">
        <f>(AA4*$W$28) /60</f>
        <v>0.25768693221523414</v>
      </c>
      <c r="V52" s="193">
        <f t="shared" ref="V52:V71" si="10">(X4*W29) /60</f>
        <v>9.345106151190366E-2</v>
      </c>
      <c r="W52" s="193">
        <f t="shared" ref="W52:W71" si="11">(Y4*$W$28) /60</f>
        <v>3.1467582087236483</v>
      </c>
      <c r="X52" s="193">
        <f t="shared" ref="X52:X71" si="12">(Z4*$W$28) /60</f>
        <v>14.589515331355098</v>
      </c>
      <c r="Y52" s="193">
        <f t="shared" ref="Y52:Z52" si="13">(AB4*$W$28) /60</f>
        <v>10.721095755928109</v>
      </c>
      <c r="Z52" s="193">
        <f t="shared" si="13"/>
        <v>3.6388248109701404</v>
      </c>
      <c r="AO52" s="190"/>
      <c r="AP52" s="190"/>
    </row>
    <row r="53" spans="1:42" s="182" customFormat="1">
      <c r="A53" s="189"/>
      <c r="C53" s="190"/>
      <c r="D53" s="190"/>
      <c r="J53" s="190"/>
      <c r="Q53" s="19" t="s">
        <v>5</v>
      </c>
      <c r="R53" s="182" t="s">
        <v>5</v>
      </c>
      <c r="S53" s="193">
        <v>61.493217465027563</v>
      </c>
      <c r="T53" s="193">
        <f t="shared" si="9"/>
        <v>0.38034601896374159</v>
      </c>
      <c r="U53" s="193">
        <f t="shared" ref="U53:U71" si="14">(AA5*$W$28) /60</f>
        <v>0.39495357891584315</v>
      </c>
      <c r="V53" s="193">
        <f>(X5*W30) /60</f>
        <v>0.14323128798313564</v>
      </c>
      <c r="W53" s="193">
        <f t="shared" si="11"/>
        <v>4.822997448237456</v>
      </c>
      <c r="X53" s="193">
        <f t="shared" si="12"/>
        <v>22.361169987282754</v>
      </c>
      <c r="Y53" s="193">
        <f t="shared" ref="Y53:Z53" si="15">(AB5*$W$28) /60</f>
        <v>16.432091073855918</v>
      </c>
      <c r="Z53" s="193">
        <f t="shared" si="15"/>
        <v>5.5771818531334105</v>
      </c>
      <c r="AO53" s="190"/>
      <c r="AP53" s="190"/>
    </row>
    <row r="54" spans="1:42" s="182" customFormat="1">
      <c r="A54" s="190"/>
      <c r="J54" s="190"/>
      <c r="Q54" s="19" t="s">
        <v>6</v>
      </c>
      <c r="R54" s="182" t="s">
        <v>6</v>
      </c>
      <c r="S54" s="193">
        <v>44.603746543127642</v>
      </c>
      <c r="T54" s="193">
        <f t="shared" si="9"/>
        <v>0.27588176595564551</v>
      </c>
      <c r="U54" s="193">
        <f t="shared" si="14"/>
        <v>0.28647727434789433</v>
      </c>
      <c r="V54" s="193">
        <f t="shared" si="10"/>
        <v>0.10389197914190881</v>
      </c>
      <c r="W54" s="193">
        <f t="shared" si="11"/>
        <v>3.4983330622060893</v>
      </c>
      <c r="X54" s="193">
        <f t="shared" si="12"/>
        <v>16.219544197500959</v>
      </c>
      <c r="Y54" s="193">
        <f t="shared" ref="Y54:Z54" si="16">(AB6*$W$28) /60</f>
        <v>11.918921397285695</v>
      </c>
      <c r="Z54" s="193">
        <f t="shared" si="16"/>
        <v>4.0453763204628261</v>
      </c>
      <c r="AO54" s="190"/>
      <c r="AP54" s="190"/>
    </row>
    <row r="55" spans="1:42" s="182" customFormat="1">
      <c r="A55" s="190"/>
      <c r="J55" s="190"/>
      <c r="Q55" s="19" t="s">
        <v>7</v>
      </c>
      <c r="R55" s="182" t="s">
        <v>7</v>
      </c>
      <c r="S55" s="193">
        <v>32.196855003128846</v>
      </c>
      <c r="T55" s="193">
        <f t="shared" si="9"/>
        <v>0.19914302956350266</v>
      </c>
      <c r="U55" s="193">
        <f t="shared" si="14"/>
        <v>0.20679131191260572</v>
      </c>
      <c r="V55" s="193">
        <f t="shared" si="10"/>
        <v>7.4993587930687125E-2</v>
      </c>
      <c r="W55" s="193">
        <f t="shared" si="11"/>
        <v>2.5252435296571649</v>
      </c>
      <c r="X55" s="193">
        <f t="shared" si="12"/>
        <v>11.707947273865038</v>
      </c>
      <c r="Y55" s="193">
        <f t="shared" ref="Y55:Z55" si="17">(AB7*$W$28) /60</f>
        <v>8.6035773620730591</v>
      </c>
      <c r="Z55" s="193">
        <f t="shared" si="17"/>
        <v>2.9201222972849274</v>
      </c>
      <c r="AO55" s="190"/>
      <c r="AP55" s="190"/>
    </row>
    <row r="56" spans="1:42" s="182" customFormat="1">
      <c r="J56" s="190"/>
      <c r="Q56" s="4" t="s">
        <v>8</v>
      </c>
      <c r="R56" s="182" t="s">
        <v>8</v>
      </c>
      <c r="S56" s="193">
        <v>62.478552251761251</v>
      </c>
      <c r="T56" s="193">
        <f t="shared" si="9"/>
        <v>0.38644048236848666</v>
      </c>
      <c r="U56" s="193">
        <f t="shared" si="14"/>
        <v>0.40128210613385817</v>
      </c>
      <c r="V56" s="193">
        <f t="shared" si="10"/>
        <v>0.14552635037239375</v>
      </c>
      <c r="W56" s="193">
        <f t="shared" si="11"/>
        <v>4.9002786079812743</v>
      </c>
      <c r="X56" s="193">
        <f t="shared" si="12"/>
        <v>22.719473546094999</v>
      </c>
      <c r="Y56" s="193">
        <f t="shared" ref="Y56:Z56" si="18">(AB8*$W$28) /60</f>
        <v>16.695390208643499</v>
      </c>
      <c r="Z56" s="193">
        <f t="shared" si="18"/>
        <v>5.6665476648175614</v>
      </c>
      <c r="AO56" s="190"/>
      <c r="AP56" s="190"/>
    </row>
    <row r="57" spans="1:42" s="182" customFormat="1">
      <c r="J57" s="190"/>
      <c r="Q57" s="4" t="s">
        <v>9</v>
      </c>
      <c r="R57" s="182" t="s">
        <v>9</v>
      </c>
      <c r="S57" s="193">
        <v>44.978451321181296</v>
      </c>
      <c r="T57" s="193">
        <f t="shared" si="9"/>
        <v>0.27819937879970347</v>
      </c>
      <c r="U57" s="193">
        <f t="shared" si="14"/>
        <v>0.28888389737446346</v>
      </c>
      <c r="V57" s="193">
        <f t="shared" si="10"/>
        <v>0.10476474934627454</v>
      </c>
      <c r="W57" s="193">
        <f t="shared" si="11"/>
        <v>3.5277216722495135</v>
      </c>
      <c r="X57" s="193">
        <f t="shared" si="12"/>
        <v>16.355800480429561</v>
      </c>
      <c r="Y57" s="193">
        <f t="shared" ref="Y57:Z57" si="19">(AB9*$W$28) /60</f>
        <v>12.019049237275338</v>
      </c>
      <c r="Z57" s="193">
        <f t="shared" si="19"/>
        <v>4.079360502370883</v>
      </c>
      <c r="AO57" s="190"/>
      <c r="AP57" s="190"/>
    </row>
    <row r="58" spans="1:42" s="182" customFormat="1">
      <c r="J58" s="190"/>
      <c r="Q58" s="4" t="s">
        <v>10</v>
      </c>
      <c r="R58" s="182" t="s">
        <v>10</v>
      </c>
      <c r="S58" s="193">
        <v>45.339278144492226</v>
      </c>
      <c r="T58" s="193">
        <f t="shared" si="9"/>
        <v>0.2804311541310186</v>
      </c>
      <c r="U58" s="193">
        <f t="shared" si="14"/>
        <v>0.29120138621486336</v>
      </c>
      <c r="V58" s="193">
        <f t="shared" si="10"/>
        <v>0.1056051947282564</v>
      </c>
      <c r="W58" s="193">
        <f t="shared" si="11"/>
        <v>3.556021815254292</v>
      </c>
      <c r="X58" s="193">
        <f t="shared" si="12"/>
        <v>16.48701023436081</v>
      </c>
      <c r="Y58" s="193">
        <f t="shared" ref="Y58:Z58" si="20">(AB10*$W$28) /60</f>
        <v>12.115468638746849</v>
      </c>
      <c r="Z58" s="193">
        <f t="shared" si="20"/>
        <v>4.1120860108749389</v>
      </c>
      <c r="AO58" s="190"/>
      <c r="AP58" s="190"/>
    </row>
    <row r="59" spans="1:42" s="182" customFormat="1">
      <c r="J59" s="190"/>
      <c r="Q59" s="4" t="s">
        <v>11</v>
      </c>
      <c r="R59" s="182" t="s">
        <v>11</v>
      </c>
      <c r="S59" s="193">
        <v>44.978451321181296</v>
      </c>
      <c r="T59" s="193">
        <f t="shared" si="9"/>
        <v>0.27819937879970347</v>
      </c>
      <c r="U59" s="193">
        <f t="shared" si="14"/>
        <v>0.28888389737446346</v>
      </c>
      <c r="V59" s="193">
        <f t="shared" si="10"/>
        <v>0.10476474934627454</v>
      </c>
      <c r="W59" s="193">
        <f t="shared" si="11"/>
        <v>3.5277216722495135</v>
      </c>
      <c r="X59" s="193">
        <f t="shared" si="12"/>
        <v>16.355800480429561</v>
      </c>
      <c r="Y59" s="193">
        <f t="shared" ref="Y59:Z59" si="21">(AB11*$W$28) /60</f>
        <v>12.019049237275338</v>
      </c>
      <c r="Z59" s="193">
        <f t="shared" si="21"/>
        <v>4.079360502370883</v>
      </c>
      <c r="AO59" s="190"/>
      <c r="AP59" s="190"/>
    </row>
    <row r="60" spans="1:42" s="182" customFormat="1">
      <c r="J60" s="190"/>
      <c r="Q60" s="4" t="s">
        <v>12</v>
      </c>
      <c r="R60" s="182" t="s">
        <v>12</v>
      </c>
      <c r="S60" s="193">
        <v>64.088395001917704</v>
      </c>
      <c r="T60" s="193">
        <f t="shared" si="9"/>
        <v>0.39639763384666177</v>
      </c>
      <c r="U60" s="193">
        <f t="shared" si="14"/>
        <v>0.41162167172948844</v>
      </c>
      <c r="V60" s="193">
        <f t="shared" si="10"/>
        <v>0.14927602976892809</v>
      </c>
      <c r="W60" s="193">
        <f t="shared" si="11"/>
        <v>5.0265407844641334</v>
      </c>
      <c r="X60" s="193">
        <f t="shared" si="12"/>
        <v>23.304870909788249</v>
      </c>
      <c r="Y60" s="193">
        <f t="shared" ref="Y60:Z60" si="22">(AB12*$W$28) /60</f>
        <v>17.125569076747151</v>
      </c>
      <c r="Z60" s="193">
        <f t="shared" si="22"/>
        <v>5.8125537796818074</v>
      </c>
      <c r="AO60" s="190"/>
      <c r="AP60" s="190"/>
    </row>
    <row r="61" spans="1:42" s="182" customFormat="1">
      <c r="J61" s="190"/>
      <c r="Q61" s="4" t="s">
        <v>13</v>
      </c>
      <c r="R61" s="182" t="s">
        <v>13</v>
      </c>
      <c r="S61" s="193">
        <v>143.70622136094795</v>
      </c>
      <c r="T61" s="193">
        <f t="shared" si="9"/>
        <v>0.88884744445261643</v>
      </c>
      <c r="U61" s="193">
        <f t="shared" si="14"/>
        <v>0.92298449778234148</v>
      </c>
      <c r="V61" s="193">
        <f t="shared" si="10"/>
        <v>0.33472353578545916</v>
      </c>
      <c r="W61" s="193">
        <f t="shared" si="11"/>
        <v>11.271076185172388</v>
      </c>
      <c r="X61" s="193">
        <f t="shared" si="12"/>
        <v>52.256807767617445</v>
      </c>
      <c r="Y61" s="193">
        <f t="shared" ref="Y61:Z61" si="23">(AB13*$W$28) /60</f>
        <v>38.400880855287298</v>
      </c>
      <c r="Z61" s="193">
        <f t="shared" si="23"/>
        <v>13.033563098441991</v>
      </c>
      <c r="AO61" s="190"/>
      <c r="AP61" s="190"/>
    </row>
    <row r="62" spans="1:42" s="182" customFormat="1">
      <c r="E62" s="183"/>
      <c r="F62" s="183"/>
      <c r="J62" s="190"/>
      <c r="Q62" s="4" t="s">
        <v>14</v>
      </c>
      <c r="R62" s="182" t="s">
        <v>14</v>
      </c>
      <c r="S62" s="193">
        <v>46.060931791114072</v>
      </c>
      <c r="T62" s="193">
        <f t="shared" si="9"/>
        <v>0.28489470479364881</v>
      </c>
      <c r="U62" s="193">
        <f t="shared" si="14"/>
        <v>0.29583636389566315</v>
      </c>
      <c r="V62" s="193">
        <f t="shared" si="10"/>
        <v>0.10728608549222006</v>
      </c>
      <c r="W62" s="193">
        <f t="shared" si="11"/>
        <v>3.6126221012638493</v>
      </c>
      <c r="X62" s="193">
        <f t="shared" si="12"/>
        <v>16.749429742223295</v>
      </c>
      <c r="Y62" s="193">
        <f t="shared" ref="Y62:Z62" si="24">(AB14*$W$28) /60</f>
        <v>12.308307441689863</v>
      </c>
      <c r="Z62" s="193">
        <f t="shared" si="24"/>
        <v>4.1775370278830497</v>
      </c>
      <c r="AO62" s="190"/>
      <c r="AP62" s="190"/>
    </row>
    <row r="63" spans="1:42" s="182" customFormat="1">
      <c r="E63" s="183"/>
      <c r="F63" s="183"/>
      <c r="J63" s="190"/>
      <c r="Q63" s="4" t="s">
        <v>15</v>
      </c>
      <c r="R63" s="182" t="s">
        <v>15</v>
      </c>
      <c r="S63" s="193">
        <v>46.060931791114072</v>
      </c>
      <c r="T63" s="193">
        <f t="shared" si="9"/>
        <v>0.28489470479364881</v>
      </c>
      <c r="U63" s="193">
        <f t="shared" si="14"/>
        <v>0.29583636389566315</v>
      </c>
      <c r="V63" s="193">
        <f t="shared" si="10"/>
        <v>0.10728608549222006</v>
      </c>
      <c r="W63" s="193">
        <f t="shared" si="11"/>
        <v>3.6126221012638493</v>
      </c>
      <c r="X63" s="193">
        <f t="shared" si="12"/>
        <v>16.749429742223295</v>
      </c>
      <c r="Y63" s="193">
        <f t="shared" ref="Y63:Z63" si="25">(AB15*$W$28) /60</f>
        <v>12.308307441689863</v>
      </c>
      <c r="Z63" s="193">
        <f t="shared" si="25"/>
        <v>4.1775370278830497</v>
      </c>
      <c r="AO63" s="190"/>
      <c r="AP63" s="190"/>
    </row>
    <row r="64" spans="1:42" s="182" customFormat="1">
      <c r="E64" s="183"/>
      <c r="F64" s="183"/>
      <c r="J64" s="190"/>
      <c r="Q64" s="19" t="s">
        <v>16</v>
      </c>
      <c r="R64" s="182" t="s">
        <v>16</v>
      </c>
      <c r="S64" s="193">
        <v>27.519984254829531</v>
      </c>
      <c r="T64" s="193">
        <f t="shared" si="9"/>
        <v>0.17021578776914906</v>
      </c>
      <c r="U64" s="193">
        <f t="shared" si="14"/>
        <v>0.17675309117357632</v>
      </c>
      <c r="V64" s="193">
        <f t="shared" si="10"/>
        <v>6.4100122787307132E-2</v>
      </c>
      <c r="W64" s="193">
        <f t="shared" si="11"/>
        <v>2.1584301376336885</v>
      </c>
      <c r="X64" s="193">
        <f t="shared" si="12"/>
        <v>10.007267001756194</v>
      </c>
      <c r="Y64" s="193">
        <f t="shared" ref="Y64:Z64" si="26">(AB16*$W$28) /60</f>
        <v>7.3538335814615854</v>
      </c>
      <c r="Z64" s="193">
        <f t="shared" si="26"/>
        <v>2.4959493601362115</v>
      </c>
      <c r="AO64" s="190"/>
      <c r="AP64" s="190"/>
    </row>
    <row r="65" spans="1:60" s="182" customFormat="1">
      <c r="E65" s="183"/>
      <c r="F65" s="183"/>
      <c r="J65" s="190"/>
      <c r="Q65" s="19" t="s">
        <v>17</v>
      </c>
      <c r="R65" s="182" t="s">
        <v>17</v>
      </c>
      <c r="S65" s="193">
        <v>24.383566482973016</v>
      </c>
      <c r="T65" s="193">
        <f t="shared" si="9"/>
        <v>0.1508165098892561</v>
      </c>
      <c r="U65" s="193">
        <f t="shared" si="14"/>
        <v>0.15660876509933117</v>
      </c>
      <c r="V65" s="193">
        <f t="shared" si="10"/>
        <v>5.6794712928541942E-2</v>
      </c>
      <c r="W65" s="193">
        <f t="shared" si="11"/>
        <v>1.9124365868998441</v>
      </c>
      <c r="X65" s="193">
        <f t="shared" si="12"/>
        <v>8.8667514483538241</v>
      </c>
      <c r="Y65" s="193">
        <f>(AB17*$W$28) /60</f>
        <v>6.5157264763630884</v>
      </c>
      <c r="Z65" s="193">
        <f t="shared" ref="Z65" si="27">(AC17*$W$28) /60</f>
        <v>2.2114891708317321</v>
      </c>
      <c r="AO65" s="190"/>
      <c r="AP65" s="190"/>
    </row>
    <row r="66" spans="1:60" s="182" customFormat="1">
      <c r="E66" s="183"/>
      <c r="F66" s="183"/>
      <c r="J66" s="190"/>
      <c r="Q66" s="4" t="s">
        <v>18</v>
      </c>
      <c r="R66" s="182" t="s">
        <v>18</v>
      </c>
      <c r="S66" s="193">
        <v>30.101283836976936</v>
      </c>
      <c r="T66" s="193">
        <f t="shared" si="9"/>
        <v>0.1861815651393264</v>
      </c>
      <c r="U66" s="193">
        <f t="shared" si="14"/>
        <v>0.19333204980105251</v>
      </c>
      <c r="V66" s="193">
        <f t="shared" si="10"/>
        <v>7.0112539750715686E-2</v>
      </c>
      <c r="W66" s="193">
        <f t="shared" si="11"/>
        <v>2.3608850068217202</v>
      </c>
      <c r="X66" s="193">
        <f t="shared" si="12"/>
        <v>10.945921395264339</v>
      </c>
      <c r="Y66" s="193">
        <f t="shared" ref="Y66:Z66" si="28">(AB18*$W$28) /60</f>
        <v>8.0436031458346839</v>
      </c>
      <c r="Z66" s="193">
        <f t="shared" si="28"/>
        <v>2.730062613280607</v>
      </c>
      <c r="AO66" s="190"/>
      <c r="AP66" s="190"/>
    </row>
    <row r="67" spans="1:60" s="182" customFormat="1">
      <c r="E67" s="183"/>
      <c r="F67" s="183"/>
      <c r="J67" s="190"/>
      <c r="Q67" s="4" t="s">
        <v>19</v>
      </c>
      <c r="R67" s="182" t="s">
        <v>19</v>
      </c>
      <c r="S67" s="193">
        <v>38.192131451987329</v>
      </c>
      <c r="T67" s="193">
        <f t="shared" si="9"/>
        <v>0.23622483506843073</v>
      </c>
      <c r="U67" s="193">
        <f t="shared" si="14"/>
        <v>0.24529728033771159</v>
      </c>
      <c r="V67" s="193">
        <f t="shared" si="10"/>
        <v>8.8957911200539211E-2</v>
      </c>
      <c r="W67" s="193">
        <f t="shared" si="11"/>
        <v>2.9954612903519475</v>
      </c>
      <c r="X67" s="193">
        <f t="shared" si="12"/>
        <v>13.888047800722664</v>
      </c>
      <c r="Y67" s="193">
        <f t="shared" ref="Y67:Z67" si="29">(AB19*$W$28) /60</f>
        <v>10.205622801907355</v>
      </c>
      <c r="Z67" s="193">
        <f t="shared" si="29"/>
        <v>3.4638692078138451</v>
      </c>
      <c r="AO67" s="190"/>
      <c r="AP67" s="190"/>
    </row>
    <row r="68" spans="1:60" s="182" customFormat="1">
      <c r="J68" s="190"/>
      <c r="Q68" s="4" t="s">
        <v>20</v>
      </c>
      <c r="R68" s="182" t="s">
        <v>20</v>
      </c>
      <c r="S68" s="193">
        <v>30.947839076283341</v>
      </c>
      <c r="T68" s="193">
        <f t="shared" si="9"/>
        <v>0.19141765341664263</v>
      </c>
      <c r="U68" s="193">
        <f t="shared" si="14"/>
        <v>0.19876923515737535</v>
      </c>
      <c r="V68" s="193">
        <f t="shared" si="10"/>
        <v>7.2084353916134616E-2</v>
      </c>
      <c r="W68" s="193">
        <f t="shared" si="11"/>
        <v>2.4272814961790852</v>
      </c>
      <c r="X68" s="193">
        <f t="shared" si="12"/>
        <v>11.253759664103031</v>
      </c>
      <c r="Y68" s="193">
        <f t="shared" ref="Y68:Z68" si="30">(AB20*$W$28) /60</f>
        <v>8.2698178954409158</v>
      </c>
      <c r="Z68" s="193">
        <f t="shared" si="30"/>
        <v>2.806841690924736</v>
      </c>
      <c r="AO68" s="190"/>
      <c r="AP68" s="190"/>
    </row>
    <row r="69" spans="1:60" s="182" customFormat="1">
      <c r="A69" s="190"/>
      <c r="J69" s="190"/>
      <c r="Q69" s="19" t="s">
        <v>41</v>
      </c>
      <c r="R69" s="182" t="s">
        <v>41</v>
      </c>
      <c r="S69" s="193">
        <v>42.008569006237515</v>
      </c>
      <c r="T69" s="193">
        <f t="shared" si="9"/>
        <v>0.25983015107272522</v>
      </c>
      <c r="U69" s="193">
        <f t="shared" si="14"/>
        <v>0.26980918153424888</v>
      </c>
      <c r="V69" s="193">
        <f t="shared" si="10"/>
        <v>9.7847237356116362E-2</v>
      </c>
      <c r="W69" s="193">
        <f t="shared" si="11"/>
        <v>3.2947897259794128</v>
      </c>
      <c r="X69" s="193">
        <f t="shared" si="12"/>
        <v>15.275843274995461</v>
      </c>
      <c r="Y69" s="193">
        <f t="shared" ref="Y69:Z69" si="31">(AB21*$W$28) /60</f>
        <v>11.22544339439446</v>
      </c>
      <c r="Z69" s="193">
        <f t="shared" si="31"/>
        <v>3.8100043939144297</v>
      </c>
      <c r="AO69" s="190"/>
      <c r="AP69" s="190"/>
    </row>
    <row r="70" spans="1:60" s="182" customFormat="1">
      <c r="A70" s="190"/>
      <c r="J70" s="190"/>
      <c r="Q70" s="4" t="s">
        <v>21</v>
      </c>
      <c r="R70" s="182" t="s">
        <v>21</v>
      </c>
      <c r="S70" s="193">
        <v>96.118714548133823</v>
      </c>
      <c r="T70" s="193">
        <f t="shared" si="9"/>
        <v>0.59451061325724974</v>
      </c>
      <c r="U70" s="193">
        <f t="shared" si="14"/>
        <v>0.61734337340806344</v>
      </c>
      <c r="V70" s="193">
        <f t="shared" si="10"/>
        <v>0.22388171983100824</v>
      </c>
      <c r="W70" s="193">
        <f t="shared" si="11"/>
        <v>7.538722709657554</v>
      </c>
      <c r="X70" s="193">
        <f t="shared" si="12"/>
        <v>34.952259835685027</v>
      </c>
      <c r="Y70" s="193">
        <f t="shared" ref="Y70:Z70" si="32">(AB22*$W$28) /60</f>
        <v>25.684645176602594</v>
      </c>
      <c r="Z70" s="193">
        <f t="shared" si="32"/>
        <v>8.7175719961187124</v>
      </c>
      <c r="AO70" s="190"/>
      <c r="AP70" s="190"/>
    </row>
    <row r="71" spans="1:60" s="182" customFormat="1">
      <c r="A71" s="190"/>
      <c r="J71" s="190"/>
      <c r="Q71" s="25" t="s">
        <v>22</v>
      </c>
      <c r="R71" s="182" t="s">
        <v>251</v>
      </c>
      <c r="S71" s="193">
        <v>37.026383253598176</v>
      </c>
      <c r="T71" s="193">
        <f t="shared" si="9"/>
        <v>0.22901448399802807</v>
      </c>
      <c r="U71" s="193">
        <f t="shared" si="14"/>
        <v>0.23781000869949656</v>
      </c>
      <c r="V71" s="193">
        <f t="shared" si="10"/>
        <v>8.6242626120290197E-2</v>
      </c>
      <c r="W71" s="193">
        <f t="shared" si="11"/>
        <v>2.9040300591057391</v>
      </c>
      <c r="X71" s="193">
        <f t="shared" si="12"/>
        <v>13.464139364944792</v>
      </c>
      <c r="Y71" s="193">
        <f t="shared" ref="Y71:Z71" si="33">(AB23*$W$28) /60</f>
        <v>9.8941139663840207</v>
      </c>
      <c r="Z71" s="193">
        <f t="shared" si="33"/>
        <v>3.3581406418776667</v>
      </c>
      <c r="AO71" s="190"/>
      <c r="AP71" s="190"/>
    </row>
    <row r="72" spans="1:60" s="182" customFormat="1">
      <c r="A72" s="190"/>
      <c r="J72" s="190"/>
      <c r="R72" s="183"/>
      <c r="S72" s="183"/>
      <c r="T72" s="183"/>
      <c r="U72" s="183"/>
      <c r="V72" s="183"/>
      <c r="W72" s="183"/>
      <c r="X72" s="183"/>
      <c r="AO72" s="190"/>
      <c r="AP72" s="190"/>
    </row>
    <row r="73" spans="1:60" s="182" customFormat="1">
      <c r="A73" s="190"/>
      <c r="J73" s="190"/>
      <c r="R73" s="183"/>
      <c r="S73" s="183"/>
      <c r="T73" s="183"/>
      <c r="U73" s="183"/>
      <c r="V73" s="183"/>
      <c r="W73" s="183"/>
      <c r="X73" s="183"/>
      <c r="AO73" s="190"/>
      <c r="AP73" s="190"/>
    </row>
    <row r="74" spans="1:60" s="182" customFormat="1">
      <c r="A74" s="190"/>
      <c r="J74" s="190"/>
      <c r="R74" s="183"/>
      <c r="S74" s="183"/>
      <c r="T74" s="183"/>
      <c r="U74" s="183"/>
      <c r="V74" s="183"/>
      <c r="W74" s="183"/>
      <c r="X74" s="183"/>
      <c r="AO74" s="190"/>
      <c r="AP74" s="190"/>
    </row>
    <row r="75" spans="1:60" s="182" customFormat="1">
      <c r="A75" s="189"/>
      <c r="C75" s="190"/>
      <c r="D75" s="190"/>
      <c r="J75" s="190"/>
      <c r="R75" s="183"/>
      <c r="S75" s="183"/>
      <c r="T75" s="183"/>
      <c r="U75" s="183"/>
      <c r="V75" s="183"/>
      <c r="W75" s="183"/>
      <c r="X75" s="183"/>
      <c r="AO75" s="190"/>
      <c r="AP75" s="190"/>
    </row>
    <row r="76" spans="1:60" s="182" customFormat="1">
      <c r="A76" s="189"/>
      <c r="C76" s="190"/>
      <c r="D76" s="190"/>
      <c r="J76" s="190"/>
      <c r="R76" s="183"/>
      <c r="S76" s="183"/>
      <c r="T76" s="183">
        <f>6000000*2%</f>
        <v>120000</v>
      </c>
      <c r="U76" s="183">
        <f>(T76/10000)*0.404686</f>
        <v>4.8562320000000003</v>
      </c>
      <c r="V76" s="183"/>
      <c r="W76" s="183"/>
      <c r="X76" s="183"/>
      <c r="AO76" s="190"/>
      <c r="AP76" s="190"/>
    </row>
    <row r="77" spans="1:60" s="182" customFormat="1" ht="57">
      <c r="A77" s="189"/>
      <c r="C77" s="190"/>
      <c r="D77" s="190"/>
      <c r="J77" s="190"/>
      <c r="R77" s="183"/>
      <c r="S77" s="183"/>
      <c r="T77" s="183">
        <f>6000000*29%</f>
        <v>1739999.9999999998</v>
      </c>
      <c r="U77" s="183">
        <f>(T77/10000)*0.404686</f>
        <v>70.415363999999983</v>
      </c>
      <c r="V77" s="183"/>
      <c r="W77" s="183"/>
      <c r="X77" s="183"/>
      <c r="Y77" s="183"/>
      <c r="AC77" s="192" t="s">
        <v>521</v>
      </c>
      <c r="AO77" s="190"/>
      <c r="AP77" s="190"/>
    </row>
    <row r="78" spans="1:60" s="182" customFormat="1">
      <c r="A78" s="189"/>
      <c r="C78" s="190"/>
      <c r="D78" s="190"/>
      <c r="J78" s="190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R78" s="190"/>
      <c r="AS78" s="190"/>
    </row>
    <row r="79" spans="1:60" s="182" customFormat="1">
      <c r="A79" s="189"/>
      <c r="C79" s="190"/>
      <c r="D79" s="190"/>
      <c r="J79" s="190"/>
      <c r="R79" s="183"/>
      <c r="S79" s="183"/>
      <c r="T79" s="183"/>
      <c r="U79" s="183"/>
      <c r="V79" s="183"/>
      <c r="W79" s="183"/>
      <c r="X79" s="496"/>
      <c r="Y79" s="496"/>
      <c r="Z79" s="485" t="s">
        <v>470</v>
      </c>
      <c r="AA79" s="486"/>
      <c r="AB79" s="183"/>
      <c r="AC79" s="183"/>
      <c r="AD79" s="183"/>
      <c r="AE79" s="183"/>
      <c r="AF79" s="183"/>
      <c r="AU79" s="190"/>
      <c r="AV79" s="190"/>
    </row>
    <row r="80" spans="1:60" s="465" customFormat="1" ht="58.2" customHeight="1" thickBot="1">
      <c r="A80" s="464"/>
      <c r="C80" s="466"/>
      <c r="D80" s="466"/>
      <c r="J80" s="466"/>
      <c r="R80" s="467" t="s">
        <v>43</v>
      </c>
      <c r="S80" s="467" t="s">
        <v>471</v>
      </c>
      <c r="T80" s="467"/>
      <c r="U80" s="192" t="s">
        <v>278</v>
      </c>
      <c r="V80" s="192" t="s">
        <v>467</v>
      </c>
      <c r="W80" s="192" t="s">
        <v>466</v>
      </c>
      <c r="X80" s="192" t="s">
        <v>564</v>
      </c>
      <c r="Y80" s="192"/>
      <c r="Z80" s="519" t="s">
        <v>563</v>
      </c>
      <c r="AA80" s="519" t="s">
        <v>563</v>
      </c>
      <c r="AB80" s="192" t="s">
        <v>562</v>
      </c>
      <c r="AC80" s="465" t="s">
        <v>637</v>
      </c>
      <c r="AD80" s="562"/>
      <c r="AE80" s="562"/>
      <c r="AF80" s="562"/>
      <c r="AG80" s="570" t="s">
        <v>582</v>
      </c>
      <c r="AH80" s="482"/>
      <c r="AI80" s="482" t="s">
        <v>584</v>
      </c>
      <c r="AJ80" s="482"/>
      <c r="AK80" s="145" t="s">
        <v>585</v>
      </c>
      <c r="AL80" s="145" t="s">
        <v>635</v>
      </c>
      <c r="AM80" s="482" t="s">
        <v>583</v>
      </c>
      <c r="AN80" s="482"/>
      <c r="AO80" s="145" t="s">
        <v>636</v>
      </c>
      <c r="AP80" s="145"/>
      <c r="AQ80" s="139" t="s">
        <v>560</v>
      </c>
      <c r="AR80" s="139"/>
      <c r="AS80" s="138" t="s">
        <v>559</v>
      </c>
      <c r="AT80" s="138"/>
      <c r="BB80" s="466"/>
      <c r="BC80"/>
      <c r="BD80"/>
      <c r="BE80"/>
      <c r="BF80"/>
      <c r="BG80"/>
      <c r="BH80"/>
    </row>
    <row r="81" spans="1:60" s="182" customFormat="1" ht="14.4">
      <c r="A81" s="189"/>
      <c r="C81" s="190"/>
      <c r="D81" s="190"/>
      <c r="J81" s="190"/>
      <c r="Q81" s="182" t="s">
        <v>3</v>
      </c>
      <c r="R81" s="184" t="s">
        <v>49</v>
      </c>
      <c r="S81" s="184"/>
      <c r="T81" s="184"/>
      <c r="U81" s="183"/>
      <c r="V81" s="183">
        <f>$AA$103*U81%</f>
        <v>0</v>
      </c>
      <c r="W81" s="183">
        <v>0</v>
      </c>
      <c r="X81" s="183"/>
      <c r="Y81" s="183"/>
      <c r="Z81" s="523"/>
      <c r="AA81" s="523"/>
      <c r="AB81" s="185">
        <v>86.421207829540734</v>
      </c>
      <c r="AC81" s="183"/>
      <c r="AD81" s="183"/>
      <c r="AE81" s="183"/>
      <c r="AF81" s="183"/>
      <c r="AG81" s="482"/>
      <c r="AH81" s="482"/>
      <c r="AI81" s="482"/>
      <c r="AJ81" s="482"/>
      <c r="AK81" s="145"/>
      <c r="AL81" s="145"/>
      <c r="AM81" s="482"/>
      <c r="AN81" s="482"/>
      <c r="AO81" s="145"/>
      <c r="AP81" s="145"/>
      <c r="AQ81" s="153">
        <v>32.746379510726527</v>
      </c>
      <c r="AR81" s="145"/>
      <c r="AS81" s="476">
        <f>AA81*AB81</f>
        <v>0</v>
      </c>
      <c r="AT81" s="470"/>
      <c r="AU81" s="500"/>
      <c r="AV81" s="500"/>
      <c r="AW81" s="601"/>
      <c r="AX81" s="602"/>
      <c r="BB81" s="608">
        <v>209.6</v>
      </c>
      <c r="BC81" s="608">
        <v>18</v>
      </c>
      <c r="BD81" s="608">
        <v>6</v>
      </c>
      <c r="BE81" s="608">
        <v>0.5</v>
      </c>
      <c r="BF81" s="608">
        <v>243.7</v>
      </c>
      <c r="BG81"/>
      <c r="BH81"/>
    </row>
    <row r="82" spans="1:60" s="182" customFormat="1" ht="14.4">
      <c r="A82" s="189"/>
      <c r="C82" s="190"/>
      <c r="D82" s="190"/>
      <c r="J82" s="190"/>
      <c r="Q82" s="182" t="s">
        <v>4</v>
      </c>
      <c r="R82" s="184" t="s">
        <v>49</v>
      </c>
      <c r="S82" s="184"/>
      <c r="T82" s="184"/>
      <c r="U82" s="183"/>
      <c r="V82" s="183">
        <f>$AA$103*U82%</f>
        <v>0</v>
      </c>
      <c r="W82" s="183">
        <v>0</v>
      </c>
      <c r="X82" s="183"/>
      <c r="Y82" s="183"/>
      <c r="Z82" s="523"/>
      <c r="AA82" s="523"/>
      <c r="AB82" s="185">
        <v>27.071590837057343</v>
      </c>
      <c r="AC82" s="183"/>
      <c r="AD82" s="183"/>
      <c r="AE82" s="183"/>
      <c r="AF82" s="183"/>
      <c r="AG82" s="482"/>
      <c r="AH82" s="482"/>
      <c r="AI82" s="482"/>
      <c r="AJ82" s="482"/>
      <c r="AK82" s="145"/>
      <c r="AL82" s="145"/>
      <c r="AM82" s="482"/>
      <c r="AN82" s="482"/>
      <c r="AO82" s="145"/>
      <c r="AP82" s="145"/>
      <c r="AQ82" s="153">
        <v>10.257859265956265</v>
      </c>
      <c r="AR82" s="145"/>
      <c r="AS82" s="476">
        <f>AA82*AB82</f>
        <v>0</v>
      </c>
      <c r="AT82" s="470"/>
      <c r="AU82" s="500"/>
      <c r="AV82" s="500"/>
      <c r="AW82" s="2"/>
      <c r="AX82" s="603"/>
      <c r="BB82" s="609">
        <v>265.2</v>
      </c>
      <c r="BC82" s="609">
        <v>22.7</v>
      </c>
      <c r="BD82" s="609">
        <v>7.6</v>
      </c>
      <c r="BE82" s="609">
        <v>0.6</v>
      </c>
      <c r="BF82" s="609">
        <v>308.5</v>
      </c>
      <c r="BG82"/>
      <c r="BH82"/>
    </row>
    <row r="83" spans="1:60" s="182" customFormat="1" ht="14.4">
      <c r="A83" s="189"/>
      <c r="C83" s="190"/>
      <c r="D83" s="190"/>
      <c r="J83" s="190"/>
      <c r="Q83" s="182" t="s">
        <v>5</v>
      </c>
      <c r="R83" s="184">
        <v>98</v>
      </c>
      <c r="S83" s="474">
        <f>($U$139*R83)/158</f>
        <v>3.8999054659805017</v>
      </c>
      <c r="T83" s="474">
        <f>($V$139*R83)/158</f>
        <v>4.9358178553815923</v>
      </c>
      <c r="U83" s="183">
        <f>(R83/$R$101)*100</f>
        <v>8.1803005008347256</v>
      </c>
      <c r="V83" s="501">
        <f>($AA$103*U83%)</f>
        <v>767060.56659099634</v>
      </c>
      <c r="W83" s="488">
        <f>($AA$104*U83%)</f>
        <v>970811.02959173347</v>
      </c>
      <c r="X83" s="488">
        <f>V83*0.65</f>
        <v>498589.36828414764</v>
      </c>
      <c r="Y83" s="488">
        <f>W83*0.65</f>
        <v>631027.16923462681</v>
      </c>
      <c r="Z83" s="529">
        <f>(V83*0.92)*0.35</f>
        <v>246993.50244230081</v>
      </c>
      <c r="AA83" s="529">
        <f>(W83*0.92)*0.35</f>
        <v>312601.15152853815</v>
      </c>
      <c r="AB83" s="489">
        <v>41.492292977862697</v>
      </c>
      <c r="AC83" s="492">
        <f>(Z83/(AB83*Scaling!$K$5))/1000</f>
        <v>37.288066100367836</v>
      </c>
      <c r="AD83" s="492">
        <f>(AA83/(AC83*Scaling!$K$5))/1000</f>
        <v>52.513683300107679</v>
      </c>
      <c r="AE83" s="193">
        <f>(X83/(AB83*Scaling!$K$5))/1000</f>
        <v>75.270940885835685</v>
      </c>
      <c r="AF83" s="193">
        <f>(Y83/(AB83*Scaling!$K$5))/1000</f>
        <v>95.264784558636165</v>
      </c>
      <c r="AG83" s="491">
        <f>Z83*Scaling!$K$5</f>
        <v>39430.634137712237</v>
      </c>
      <c r="AH83" s="491">
        <f>AA83*Scaling!$K$5</f>
        <v>49904.396330542237</v>
      </c>
      <c r="AI83" s="491">
        <f>Z83*'Final insect weight kjg '!$C$21</f>
        <v>14940.898678122487</v>
      </c>
      <c r="AJ83" s="491">
        <f>AA83*'Final insect weight kjg '!$C$21</f>
        <v>18909.574889498843</v>
      </c>
      <c r="AK83" s="143">
        <f>AB83*'Final insect weight kjg '!$C$21</f>
        <v>2.5099127676447264</v>
      </c>
      <c r="AL83" s="143">
        <f>AB83*Scaling!$K$5</f>
        <v>6.62392900123786</v>
      </c>
      <c r="AM83" s="483">
        <f>AG83/AK83</f>
        <v>15709.961973982665</v>
      </c>
      <c r="AN83" s="483">
        <f>AH83/AK83</f>
        <v>19882.920623321883</v>
      </c>
      <c r="AO83" s="153">
        <f>AI83/AK83</f>
        <v>5952.7561558017242</v>
      </c>
      <c r="AP83" s="153">
        <f>AJ83/AL83</f>
        <v>2854.736952338269</v>
      </c>
      <c r="AQ83" s="153">
        <v>15.722094226029823</v>
      </c>
      <c r="AR83" s="143">
        <f>(Z83*Scaling!$K$5)</f>
        <v>39430.634137712237</v>
      </c>
      <c r="AS83" s="143">
        <f>(AA83*Scaling!$K$5)</f>
        <v>49904.396330542237</v>
      </c>
      <c r="AT83" s="598">
        <f>AQ83*Scaling!$K$5</f>
        <v>2.5099127676447273</v>
      </c>
      <c r="AU83" s="475">
        <f>Z83/AT83</f>
        <v>98407.205870376376</v>
      </c>
      <c r="AV83" s="500"/>
      <c r="AW83" s="608">
        <v>209.6</v>
      </c>
      <c r="AX83" s="609">
        <v>265.2</v>
      </c>
      <c r="AY83" s="186" t="str">
        <f>AW83&amp;"-"&amp;AX83</f>
        <v>209.6-265.2</v>
      </c>
      <c r="BC83"/>
      <c r="BD83"/>
      <c r="BE83"/>
      <c r="BF83"/>
      <c r="BG83"/>
      <c r="BH83"/>
    </row>
    <row r="84" spans="1:60" s="182" customFormat="1" ht="14.4">
      <c r="A84" s="189"/>
      <c r="C84" s="190"/>
      <c r="D84" s="190"/>
      <c r="J84" s="190"/>
      <c r="Q84" s="182" t="s">
        <v>6</v>
      </c>
      <c r="R84" s="184">
        <v>4</v>
      </c>
      <c r="S84" s="474">
        <f t="shared" ref="S84:S100" si="34">($U$139*R84)/158</f>
        <v>0.15917981493797967</v>
      </c>
      <c r="T84" s="474">
        <f t="shared" ref="T84:T100" si="35">($V$139*R84)/158</f>
        <v>0.20146195328088135</v>
      </c>
      <c r="U84" s="183">
        <f>(R84/$R$101)*100</f>
        <v>0.333889816360601</v>
      </c>
      <c r="V84" s="188">
        <f>($AA$103*U84%)</f>
        <v>31308.594554734544</v>
      </c>
      <c r="W84" s="488">
        <f>($AA$104*U84%)</f>
        <v>39624.939983336059</v>
      </c>
      <c r="X84" s="488">
        <f t="shared" ref="X84:X101" si="36">V84*0.65</f>
        <v>20350.586460577455</v>
      </c>
      <c r="Y84" s="488">
        <f t="shared" ref="Y84:Y101" si="37">W84*0.65</f>
        <v>25756.210989168438</v>
      </c>
      <c r="Z84" s="529">
        <f t="shared" ref="Z84:Z100" si="38">(V84*0.92)*0.35</f>
        <v>10081.367446624523</v>
      </c>
      <c r="AA84" s="529">
        <f t="shared" ref="AA84:AA100" si="39">(W84*0.92)*0.35</f>
        <v>12759.230674634211</v>
      </c>
      <c r="AB84" s="489">
        <v>30.096192649706779</v>
      </c>
      <c r="AC84" s="492">
        <f>(Z84/(AB84*Scaling!$K$5))/1000</f>
        <v>2.0982616980649684</v>
      </c>
      <c r="AD84" s="492">
        <f>(AA84/(AC84*Scaling!$K$5))/1000</f>
        <v>38.090493822285303</v>
      </c>
      <c r="AE84" s="193">
        <f>(X84/(AB84*Scaling!$K$5))/1000</f>
        <v>4.2356214401932606</v>
      </c>
      <c r="AF84" s="193">
        <f>(Y84/(AB84*Scaling!$K$5))/1000</f>
        <v>5.3607083852446156</v>
      </c>
      <c r="AG84" s="491">
        <f>Z84*Scaling!$K$5</f>
        <v>1609.4136382739687</v>
      </c>
      <c r="AH84" s="491">
        <f>AA84*Scaling!$K$5</f>
        <v>2036.9141359404996</v>
      </c>
      <c r="AI84" s="491">
        <f>Z84*'Final insect weight kjg '!$C$21</f>
        <v>609.83259910704032</v>
      </c>
      <c r="AJ84" s="491">
        <f>AA84*'Final insect weight kjg '!$C$21</f>
        <v>771.81938324485088</v>
      </c>
      <c r="AK84" s="143">
        <f>AB84*'Final insect weight kjg '!$C$21</f>
        <v>1.8205505834371818</v>
      </c>
      <c r="AL84" s="143">
        <f>AB84*Scaling!$K$5</f>
        <v>4.8046282577247768</v>
      </c>
      <c r="AM84" s="483">
        <f t="shared" ref="AM84:AM99" si="40">AG84/AK84</f>
        <v>884.02577380487355</v>
      </c>
      <c r="AN84" s="483">
        <f t="shared" ref="AN84:AN100" si="41">AH84/AK84</f>
        <v>1118.8451199717974</v>
      </c>
      <c r="AO84" s="153">
        <f t="shared" ref="AO84:AO100" si="42">AI84/AK84</f>
        <v>334.97152161280917</v>
      </c>
      <c r="AP84" s="153">
        <f t="shared" ref="AP84:AP100" si="43">AJ84/AL84</f>
        <v>160.64081170149564</v>
      </c>
      <c r="AQ84" s="153">
        <v>11.403929325763901</v>
      </c>
      <c r="AR84" s="143">
        <f>(Z84*Scaling!$K$5)</f>
        <v>1609.4136382739687</v>
      </c>
      <c r="AS84" s="143">
        <f>(AA84*Scaling!$K$5)</f>
        <v>2036.9141359404996</v>
      </c>
      <c r="AT84" s="598"/>
      <c r="AU84" s="475"/>
      <c r="AV84" s="500"/>
      <c r="AW84" s="608">
        <v>18</v>
      </c>
      <c r="AX84" s="609">
        <v>22.7</v>
      </c>
      <c r="AY84" s="186" t="str">
        <f t="shared" ref="AY84:AY101" si="44">AW84&amp;"-"&amp;AX84</f>
        <v>18-22.7</v>
      </c>
      <c r="BC84"/>
      <c r="BD84"/>
      <c r="BE84"/>
      <c r="BF84"/>
      <c r="BG84"/>
      <c r="BH84"/>
    </row>
    <row r="85" spans="1:60" s="182" customFormat="1" ht="14.4">
      <c r="A85" s="189"/>
      <c r="C85" s="190"/>
      <c r="D85" s="190"/>
      <c r="J85" s="190"/>
      <c r="Q85" s="182" t="s">
        <v>7</v>
      </c>
      <c r="R85" s="184">
        <v>101</v>
      </c>
      <c r="S85" s="474">
        <f t="shared" si="34"/>
        <v>4.0192903271839873</v>
      </c>
      <c r="T85" s="474">
        <f t="shared" si="35"/>
        <v>5.0869143203422542</v>
      </c>
      <c r="U85" s="183">
        <f>(R85/$R$101)*100</f>
        <v>8.4307178631051745</v>
      </c>
      <c r="V85" s="188">
        <f>($AA$103*U85%)</f>
        <v>790542.01250704715</v>
      </c>
      <c r="W85" s="488">
        <f>($AA$104*U85%)</f>
        <v>1000529.7345792354</v>
      </c>
      <c r="X85" s="488">
        <f t="shared" si="36"/>
        <v>513852.30812958069</v>
      </c>
      <c r="Y85" s="488">
        <f t="shared" si="37"/>
        <v>650344.32747650309</v>
      </c>
      <c r="Z85" s="529">
        <f t="shared" si="38"/>
        <v>254554.52802726917</v>
      </c>
      <c r="AA85" s="529">
        <f t="shared" si="39"/>
        <v>322170.57453451381</v>
      </c>
      <c r="AB85" s="489">
        <v>21.724694134200288</v>
      </c>
      <c r="AC85" s="492">
        <f>(Z85/(AB85*Scaling!$K$5))/1000</f>
        <v>73.397103755998032</v>
      </c>
      <c r="AD85" s="492">
        <f>(AA85/(AC85*Scaling!$K$5))/1000</f>
        <v>27.495316013597346</v>
      </c>
      <c r="AE85" s="193">
        <f>(X85/(AB85*Scaling!$K$5))/1000</f>
        <v>148.16185540807058</v>
      </c>
      <c r="AF85" s="193">
        <f>(Y85/(AB85*Scaling!$K$5))/1000</f>
        <v>187.51734825084006</v>
      </c>
      <c r="AG85" s="491">
        <f>Z85*Scaling!$K$5</f>
        <v>40637.694366417709</v>
      </c>
      <c r="AH85" s="491">
        <f>AA85*Scaling!$K$5</f>
        <v>51432.081932497611</v>
      </c>
      <c r="AI85" s="491">
        <f>Z85*'Final insect weight kjg '!$C$21</f>
        <v>15398.273127452765</v>
      </c>
      <c r="AJ85" s="491">
        <f>AA85*'Final insect weight kjg '!$C$21</f>
        <v>19488.439426932484</v>
      </c>
      <c r="AK85" s="143">
        <f>AB85*'Final insect weight kjg '!$C$21</f>
        <v>1.3141497677580154</v>
      </c>
      <c r="AL85" s="143">
        <f>AB85*Scaling!$K$5</f>
        <v>3.4681821897702183</v>
      </c>
      <c r="AM85" s="483">
        <f t="shared" si="40"/>
        <v>30923.183463135265</v>
      </c>
      <c r="AN85" s="483">
        <f t="shared" si="41"/>
        <v>39137.15407053072</v>
      </c>
      <c r="AO85" s="153">
        <f t="shared" si="42"/>
        <v>11717.289387588407</v>
      </c>
      <c r="AP85" s="153">
        <f t="shared" si="43"/>
        <v>5619.2086691453987</v>
      </c>
      <c r="AQ85" s="153">
        <v>8.2318344853056153</v>
      </c>
      <c r="AR85" s="143">
        <f>(Z85*Scaling!$K$5)</f>
        <v>40637.694366417709</v>
      </c>
      <c r="AS85" s="143">
        <f>(AA85*Scaling!$K$5)</f>
        <v>51432.081932497611</v>
      </c>
      <c r="AT85" s="598"/>
      <c r="AU85" s="475"/>
      <c r="AV85" s="500"/>
      <c r="AW85" s="608">
        <v>6</v>
      </c>
      <c r="AX85" s="609">
        <v>7.6</v>
      </c>
      <c r="AY85" s="186" t="str">
        <f t="shared" si="44"/>
        <v>6-7.6</v>
      </c>
      <c r="BC85"/>
      <c r="BD85"/>
      <c r="BE85"/>
      <c r="BF85"/>
      <c r="BG85"/>
      <c r="BH85"/>
    </row>
    <row r="86" spans="1:60" s="182" customFormat="1" ht="14.4">
      <c r="A86" s="189"/>
      <c r="C86" s="190"/>
      <c r="D86" s="190"/>
      <c r="J86" s="190"/>
      <c r="Q86" s="182" t="s">
        <v>8</v>
      </c>
      <c r="R86" s="184">
        <v>1</v>
      </c>
      <c r="S86" s="474">
        <f t="shared" si="34"/>
        <v>3.9794953734494917E-2</v>
      </c>
      <c r="T86" s="474">
        <f t="shared" si="35"/>
        <v>5.0365488320220336E-2</v>
      </c>
      <c r="U86" s="183">
        <f>(R86/$R$101)*100</f>
        <v>8.347245409015025E-2</v>
      </c>
      <c r="V86" s="188">
        <f>($AA$103*U86%)</f>
        <v>7827.1486386836359</v>
      </c>
      <c r="W86" s="488">
        <f>($AA$104*U86%)</f>
        <v>9906.2349958340146</v>
      </c>
      <c r="X86" s="488">
        <f t="shared" si="36"/>
        <v>5087.6466151443638</v>
      </c>
      <c r="Y86" s="488">
        <f t="shared" si="37"/>
        <v>6439.0527472921094</v>
      </c>
      <c r="Z86" s="529">
        <f t="shared" si="38"/>
        <v>2520.3418616561307</v>
      </c>
      <c r="AA86" s="529">
        <f t="shared" si="39"/>
        <v>3189.8076686585528</v>
      </c>
      <c r="AB86" s="489">
        <v>42.157143531107629</v>
      </c>
      <c r="AC86" s="492">
        <f>(Z86/(AB86*Scaling!$K$5))/1000</f>
        <v>0.3744898432685923</v>
      </c>
      <c r="AD86" s="492">
        <f>(AA86/(AC86*Scaling!$K$5))/1000</f>
        <v>53.355134781558291</v>
      </c>
      <c r="AE86" s="193">
        <f>(X86/(AB86*Scaling!$K$5))/1000</f>
        <v>0.75595775815088517</v>
      </c>
      <c r="AF86" s="193">
        <f>(Y86/(AB86*Scaling!$K$5))/1000</f>
        <v>0.95675903765971759</v>
      </c>
      <c r="AG86" s="491">
        <f>Z86*Scaling!$K$5</f>
        <v>402.35340956849217</v>
      </c>
      <c r="AH86" s="491">
        <f>AA86*Scaling!$K$5</f>
        <v>509.2285339851249</v>
      </c>
      <c r="AI86" s="491">
        <f>Z86*'Final insect weight kjg '!$C$21</f>
        <v>152.45814977676008</v>
      </c>
      <c r="AJ86" s="491">
        <f>AA86*'Final insect weight kjg '!$C$21</f>
        <v>192.95484581121272</v>
      </c>
      <c r="AK86" s="143">
        <f>AB86*'Final insect weight kjg '!$C$21</f>
        <v>2.5501302820890457</v>
      </c>
      <c r="AL86" s="143">
        <f>AB86*Scaling!$K$5</f>
        <v>6.7300673354937599</v>
      </c>
      <c r="AM86" s="483">
        <f t="shared" si="40"/>
        <v>157.77758979391734</v>
      </c>
      <c r="AN86" s="483">
        <f t="shared" si="41"/>
        <v>199.68726208292742</v>
      </c>
      <c r="AO86" s="153">
        <f t="shared" si="42"/>
        <v>59.784455267856991</v>
      </c>
      <c r="AP86" s="153">
        <f t="shared" si="43"/>
        <v>28.670566904076352</v>
      </c>
      <c r="AQ86" s="153">
        <v>15.97401674691633</v>
      </c>
      <c r="AR86" s="143">
        <f>(Z86*Scaling!$K$5)</f>
        <v>402.35340956849217</v>
      </c>
      <c r="AS86" s="143">
        <f>(AA86*Scaling!$K$5)</f>
        <v>509.2285339851249</v>
      </c>
      <c r="AT86" s="598"/>
      <c r="AU86" s="475"/>
      <c r="AV86" s="500"/>
      <c r="AW86" s="608">
        <v>0.5</v>
      </c>
      <c r="AX86" s="609">
        <v>0.6</v>
      </c>
      <c r="AY86" s="186" t="str">
        <f t="shared" si="44"/>
        <v>0.5-0.6</v>
      </c>
      <c r="BC86"/>
      <c r="BD86"/>
      <c r="BE86"/>
      <c r="BF86"/>
      <c r="BG86"/>
      <c r="BH86"/>
    </row>
    <row r="87" spans="1:60" s="182" customFormat="1" ht="14.4">
      <c r="A87" s="189"/>
      <c r="C87" s="190"/>
      <c r="D87" s="190"/>
      <c r="J87" s="190"/>
      <c r="Q87" s="182" t="s">
        <v>9</v>
      </c>
      <c r="R87" s="184">
        <v>43</v>
      </c>
      <c r="S87" s="474">
        <f t="shared" si="34"/>
        <v>1.7111830105832815</v>
      </c>
      <c r="T87" s="474">
        <f t="shared" si="35"/>
        <v>2.1657159977694742</v>
      </c>
      <c r="U87" s="183">
        <f>(R87/$R$101)*100</f>
        <v>3.5893155258764611</v>
      </c>
      <c r="V87" s="188">
        <f>($AA$103*U87%)</f>
        <v>336567.39146339637</v>
      </c>
      <c r="W87" s="488">
        <f>($AA$104*U87%)</f>
        <v>425968.10482086265</v>
      </c>
      <c r="X87" s="488">
        <f t="shared" si="36"/>
        <v>218768.80445120766</v>
      </c>
      <c r="Y87" s="488">
        <f t="shared" si="37"/>
        <v>276879.26813356072</v>
      </c>
      <c r="Z87" s="529">
        <f t="shared" si="38"/>
        <v>108374.70005121363</v>
      </c>
      <c r="AA87" s="529">
        <f t="shared" si="39"/>
        <v>137161.72975231777</v>
      </c>
      <c r="AB87" s="489">
        <v>30.349023141785832</v>
      </c>
      <c r="AC87" s="492">
        <f>(Z87/(AB87*Scaling!$K$5))/1000</f>
        <v>22.368401974388682</v>
      </c>
      <c r="AD87" s="492">
        <f>(AA87/(AC87*Scaling!$K$5))/1000</f>
        <v>38.410482413822834</v>
      </c>
      <c r="AE87" s="193">
        <f>(X87/(AB87*Scaling!$K$5))/1000</f>
        <v>45.153606470039264</v>
      </c>
      <c r="AF87" s="193">
        <f>(Y87/(AB87*Scaling!$K$5))/1000</f>
        <v>57.147533188643663</v>
      </c>
      <c r="AG87" s="491">
        <f>Z87*Scaling!$K$5</f>
        <v>17301.196611445164</v>
      </c>
      <c r="AH87" s="491">
        <f>AA87*Scaling!$K$5</f>
        <v>21896.82696136037</v>
      </c>
      <c r="AI87" s="491">
        <f>Z87*'Final insect weight kjg '!$C$21</f>
        <v>6555.7004404006839</v>
      </c>
      <c r="AJ87" s="491">
        <f>AA87*'Final insect weight kjg '!$C$21</f>
        <v>8297.0583698821465</v>
      </c>
      <c r="AK87" s="143">
        <f>AB87*'Final insect weight kjg '!$C$21</f>
        <v>1.8358445678033308</v>
      </c>
      <c r="AL87" s="143">
        <f>AB87*Scaling!$K$5</f>
        <v>4.8449907228643436</v>
      </c>
      <c r="AM87" s="483">
        <f t="shared" si="40"/>
        <v>9424.1075278757453</v>
      </c>
      <c r="AN87" s="483">
        <f t="shared" si="41"/>
        <v>11927.386089967786</v>
      </c>
      <c r="AO87" s="153">
        <f t="shared" si="42"/>
        <v>3570.945250689098</v>
      </c>
      <c r="AP87" s="153">
        <f t="shared" si="43"/>
        <v>1712.5024266252776</v>
      </c>
      <c r="AQ87" s="153">
        <v>11.499730847791163</v>
      </c>
      <c r="AR87" s="143">
        <f>(Z87*Scaling!$K$5)</f>
        <v>17301.196611445164</v>
      </c>
      <c r="AS87" s="143">
        <f>(AA87*Scaling!$K$5)</f>
        <v>21896.82696136037</v>
      </c>
      <c r="AT87" s="598"/>
      <c r="AU87" s="475"/>
      <c r="AV87" s="500"/>
      <c r="AW87" s="608">
        <v>243.7</v>
      </c>
      <c r="AX87" s="609">
        <v>308.5</v>
      </c>
      <c r="AY87" s="186" t="str">
        <f t="shared" si="44"/>
        <v>243.7-308.5</v>
      </c>
      <c r="BC87"/>
      <c r="BD87"/>
      <c r="BE87"/>
      <c r="BF87"/>
      <c r="BG87"/>
      <c r="BH87"/>
    </row>
    <row r="88" spans="1:60" s="182" customFormat="1" ht="15" thickBot="1">
      <c r="A88" s="189"/>
      <c r="C88" s="190"/>
      <c r="D88" s="190"/>
      <c r="J88" s="190"/>
      <c r="Q88" s="182" t="s">
        <v>10</v>
      </c>
      <c r="R88" s="184">
        <v>325</v>
      </c>
      <c r="S88" s="474">
        <f t="shared" si="34"/>
        <v>12.933359963710847</v>
      </c>
      <c r="T88" s="474">
        <f t="shared" si="35"/>
        <v>16.36878370407161</v>
      </c>
      <c r="U88" s="183">
        <f>(R88/$R$101)*100</f>
        <v>27.128547579298832</v>
      </c>
      <c r="V88" s="188">
        <f>($AA$103*U88%)</f>
        <v>2543823.3075721818</v>
      </c>
      <c r="W88" s="488">
        <f>($AA$104*U88%)</f>
        <v>3219526.3736460549</v>
      </c>
      <c r="X88" s="488">
        <f t="shared" si="36"/>
        <v>1653485.1499219183</v>
      </c>
      <c r="Y88" s="488">
        <f t="shared" si="37"/>
        <v>2092692.1428699358</v>
      </c>
      <c r="Z88" s="529">
        <f t="shared" si="38"/>
        <v>819111.10503824241</v>
      </c>
      <c r="AA88" s="529">
        <f t="shared" si="39"/>
        <v>1036687.4923140296</v>
      </c>
      <c r="AB88" s="489">
        <v>30.592489541565666</v>
      </c>
      <c r="AC88" s="492">
        <f>(Z88/(AB88*Scaling!$K$5))/1000</f>
        <v>167.71803311247041</v>
      </c>
      <c r="AD88" s="492">
        <f>(AA88/(AC88*Scaling!$K$5))/1000</f>
        <v>38.71861957604419</v>
      </c>
      <c r="AE88" s="193">
        <f>(X88/(AB88*Scaling!$K$5))/1000</f>
        <v>338.561246966167</v>
      </c>
      <c r="AF88" s="193">
        <f>(Y88/(AB88*Scaling!$K$5))/1000</f>
        <v>428.49157819155681</v>
      </c>
      <c r="AG88" s="491">
        <f>Z88*Scaling!$K$5</f>
        <v>130764.85810975995</v>
      </c>
      <c r="AH88" s="491">
        <f>AA88*Scaling!$K$5</f>
        <v>165499.27354516558</v>
      </c>
      <c r="AI88" s="491">
        <f>Z88*'Final insect weight kjg '!$C$21</f>
        <v>49548.898677447018</v>
      </c>
      <c r="AJ88" s="491">
        <f>AA88*'Final insect weight kjg '!$C$21</f>
        <v>62710.324888644129</v>
      </c>
      <c r="AK88" s="143">
        <f>AB88*'Final insect weight kjg '!$C$21</f>
        <v>1.8505721083040676</v>
      </c>
      <c r="AL88" s="143">
        <f>AB88*Scaling!$K$5</f>
        <v>4.8838582818876306</v>
      </c>
      <c r="AM88" s="483">
        <f t="shared" si="40"/>
        <v>70661.855067943121</v>
      </c>
      <c r="AN88" s="483">
        <f t="shared" si="41"/>
        <v>89431.410320365845</v>
      </c>
      <c r="AO88" s="153">
        <f t="shared" si="42"/>
        <v>26774.908394602062</v>
      </c>
      <c r="AP88" s="153">
        <f t="shared" si="43"/>
        <v>12840.324446188954</v>
      </c>
      <c r="AQ88" s="153">
        <v>11.5919841652989</v>
      </c>
      <c r="AR88" s="143">
        <f>(Z88*Scaling!$K$5)</f>
        <v>130764.85810975995</v>
      </c>
      <c r="AS88" s="143">
        <f>(AA88*Scaling!$K$5)</f>
        <v>165499.27354516558</v>
      </c>
      <c r="AT88" s="598"/>
      <c r="AU88" s="475"/>
      <c r="AV88" s="500"/>
      <c r="AW88" s="479">
        <v>49549</v>
      </c>
      <c r="AX88" s="480">
        <v>62710</v>
      </c>
      <c r="AY88" s="186" t="str">
        <f t="shared" si="44"/>
        <v>49549-62710</v>
      </c>
      <c r="BC88"/>
      <c r="BD88"/>
      <c r="BE88"/>
      <c r="BF88"/>
      <c r="BG88"/>
      <c r="BH88"/>
    </row>
    <row r="89" spans="1:60" s="182" customFormat="1" ht="15" thickBot="1">
      <c r="A89" s="189"/>
      <c r="C89" s="190"/>
      <c r="D89" s="190"/>
      <c r="J89" s="190"/>
      <c r="Q89" s="182" t="s">
        <v>11</v>
      </c>
      <c r="R89" s="184">
        <v>22</v>
      </c>
      <c r="S89" s="474">
        <f t="shared" si="34"/>
        <v>0.87548898215888815</v>
      </c>
      <c r="T89" s="474">
        <f t="shared" si="35"/>
        <v>1.1080407430448473</v>
      </c>
      <c r="U89" s="183">
        <f>(R89/$R$101)*100</f>
        <v>1.8363939899833055</v>
      </c>
      <c r="V89" s="188">
        <f>($AA$103*U89%)</f>
        <v>172197.27005103999</v>
      </c>
      <c r="W89" s="488">
        <f>($AA$104*U89%)</f>
        <v>217937.16990834833</v>
      </c>
      <c r="X89" s="488">
        <f t="shared" si="36"/>
        <v>111928.225533176</v>
      </c>
      <c r="Y89" s="488">
        <f t="shared" si="37"/>
        <v>141659.16044042641</v>
      </c>
      <c r="Z89" s="529">
        <f t="shared" si="38"/>
        <v>55447.520956434877</v>
      </c>
      <c r="AA89" s="529">
        <f t="shared" si="39"/>
        <v>70175.768710488148</v>
      </c>
      <c r="AB89" s="489">
        <v>30.349023141785832</v>
      </c>
      <c r="AC89" s="492">
        <f>(Z89/(AB89*Scaling!$K$5))/1000</f>
        <v>11.444298684570953</v>
      </c>
      <c r="AD89" s="492">
        <f>(AA89/(AC89*Scaling!$K$5))/1000</f>
        <v>38.410482413822834</v>
      </c>
      <c r="AE89" s="193">
        <f>(X89/(AB89*Scaling!$K$5))/1000</f>
        <v>23.101845170717763</v>
      </c>
      <c r="AF89" s="193">
        <f>(Y89/(AB89*Scaling!$K$5))/1000</f>
        <v>29.238272794189779</v>
      </c>
      <c r="AG89" s="491">
        <f>Z89*Scaling!$K$5</f>
        <v>8851.775010506828</v>
      </c>
      <c r="AH89" s="491">
        <f>AA89*Scaling!$K$5</f>
        <v>11203.027747672746</v>
      </c>
      <c r="AI89" s="491">
        <f>Z89*'Final insect weight kjg '!$C$21</f>
        <v>3354.0792950887217</v>
      </c>
      <c r="AJ89" s="491">
        <f>AA89*'Final insect weight kjg '!$C$21</f>
        <v>4245.0066078466789</v>
      </c>
      <c r="AK89" s="143">
        <f>AB89*'Final insect weight kjg '!$C$21</f>
        <v>1.8358445678033308</v>
      </c>
      <c r="AL89" s="143">
        <f>AB89*Scaling!$K$5</f>
        <v>4.8449907228643436</v>
      </c>
      <c r="AM89" s="483">
        <f t="shared" si="40"/>
        <v>4821.6364096108464</v>
      </c>
      <c r="AN89" s="483">
        <f t="shared" si="41"/>
        <v>6102.3835809137499</v>
      </c>
      <c r="AO89" s="153">
        <f t="shared" si="42"/>
        <v>1826.9952445386082</v>
      </c>
      <c r="AP89" s="153">
        <f t="shared" si="43"/>
        <v>876.16403222688609</v>
      </c>
      <c r="AQ89" s="153">
        <v>11.499730847791163</v>
      </c>
      <c r="AR89" s="143">
        <f>(Z89*Scaling!$K$5)</f>
        <v>8851.775010506828</v>
      </c>
      <c r="AS89" s="143">
        <f>(AA89*Scaling!$K$5)</f>
        <v>11203.027747672746</v>
      </c>
      <c r="AT89" s="598"/>
      <c r="AU89" s="475"/>
      <c r="AV89" s="500"/>
      <c r="AW89" s="479">
        <v>3354</v>
      </c>
      <c r="AX89" s="480">
        <v>4245</v>
      </c>
      <c r="AY89" s="186" t="str">
        <f t="shared" si="44"/>
        <v>3354-4245</v>
      </c>
      <c r="BC89"/>
      <c r="BD89"/>
      <c r="BE89"/>
      <c r="BF89"/>
      <c r="BG89"/>
      <c r="BH89"/>
    </row>
    <row r="90" spans="1:60" s="182" customFormat="1" ht="15" thickBot="1">
      <c r="A90" s="189"/>
      <c r="C90" s="190"/>
      <c r="D90" s="190"/>
      <c r="J90" s="190"/>
      <c r="Q90" s="182" t="s">
        <v>13</v>
      </c>
      <c r="R90" s="184">
        <v>3</v>
      </c>
      <c r="S90" s="474">
        <f t="shared" si="34"/>
        <v>0.11938486120348477</v>
      </c>
      <c r="T90" s="474">
        <f t="shared" si="35"/>
        <v>0.15109646496066101</v>
      </c>
      <c r="U90" s="183">
        <f>(R90/$R$101)*100</f>
        <v>0.25041736227045075</v>
      </c>
      <c r="V90" s="188">
        <f>($AA$103*U90%)</f>
        <v>23481.445916050907</v>
      </c>
      <c r="W90" s="488">
        <f>($AA$104*U90%)</f>
        <v>29718.704987502046</v>
      </c>
      <c r="X90" s="488">
        <f t="shared" si="36"/>
        <v>15262.939845433089</v>
      </c>
      <c r="Y90" s="488">
        <f t="shared" si="37"/>
        <v>19317.158241876332</v>
      </c>
      <c r="Z90" s="529">
        <f t="shared" si="38"/>
        <v>7561.0255849683908</v>
      </c>
      <c r="AA90" s="529">
        <f t="shared" si="39"/>
        <v>9569.4230059756574</v>
      </c>
      <c r="AB90" s="489">
        <v>96.96517575846724</v>
      </c>
      <c r="AC90" s="492">
        <f>(Z90/(AB90*Scaling!$K$5))/1000</f>
        <v>0.48844614419947913</v>
      </c>
      <c r="AD90" s="492">
        <f>(AA90/(AC90*Scaling!$K$5))/1000</f>
        <v>122.72155056931059</v>
      </c>
      <c r="AE90" s="193">
        <f>(X90/(AB90*Scaling!$K$5))/1000</f>
        <v>0.98599376934677485</v>
      </c>
      <c r="AF90" s="193">
        <f>(Y90/(AB90*Scaling!$K$5))/1000</f>
        <v>1.247898364329517</v>
      </c>
      <c r="AG90" s="491">
        <f>Z90*Scaling!$K$5</f>
        <v>1207.0602287054764</v>
      </c>
      <c r="AH90" s="491">
        <f>AA90*Scaling!$K$5</f>
        <v>1527.6856019553745</v>
      </c>
      <c r="AI90" s="491">
        <f>Z90*'Final insect weight kjg '!$C$21</f>
        <v>457.37444933028013</v>
      </c>
      <c r="AJ90" s="491">
        <f>AA90*'Final insect weight kjg '!$C$21</f>
        <v>578.86453743363802</v>
      </c>
      <c r="AK90" s="143">
        <f>AB90*'Final insect weight kjg '!$C$21</f>
        <v>5.86552622635097</v>
      </c>
      <c r="AL90" s="143">
        <f>AB90*Scaling!$K$5</f>
        <v>15.479752834082161</v>
      </c>
      <c r="AM90" s="483">
        <f t="shared" si="40"/>
        <v>205.7889065916608</v>
      </c>
      <c r="AN90" s="483">
        <f t="shared" si="41"/>
        <v>260.45158490507168</v>
      </c>
      <c r="AO90" s="153">
        <f t="shared" si="42"/>
        <v>77.976712008467061</v>
      </c>
      <c r="AP90" s="153">
        <f t="shared" si="43"/>
        <v>37.394947040700636</v>
      </c>
      <c r="AQ90" s="153">
        <v>36.741657799715369</v>
      </c>
      <c r="AR90" s="143">
        <f>(Z90*Scaling!$K$5)</f>
        <v>1207.0602287054764</v>
      </c>
      <c r="AS90" s="143">
        <f>(AA90*Scaling!$K$5)</f>
        <v>1527.6856019553745</v>
      </c>
      <c r="AT90" s="598"/>
      <c r="AU90" s="475"/>
      <c r="AV90" s="500"/>
      <c r="AW90" s="479">
        <v>457</v>
      </c>
      <c r="AX90" s="480">
        <v>579</v>
      </c>
      <c r="AY90" s="186" t="str">
        <f t="shared" si="44"/>
        <v>457-579</v>
      </c>
      <c r="BC90"/>
      <c r="BD90"/>
      <c r="BE90"/>
      <c r="BF90"/>
      <c r="BG90"/>
      <c r="BH90"/>
    </row>
    <row r="91" spans="1:60" s="182" customFormat="1" ht="15" thickBot="1">
      <c r="A91" s="189"/>
      <c r="C91" s="190"/>
      <c r="D91" s="190"/>
      <c r="J91" s="190"/>
      <c r="Q91" s="182" t="s">
        <v>14</v>
      </c>
      <c r="R91" s="184">
        <v>12</v>
      </c>
      <c r="S91" s="474">
        <f t="shared" si="34"/>
        <v>0.47753944481393906</v>
      </c>
      <c r="T91" s="474">
        <f t="shared" si="35"/>
        <v>0.60438585984264404</v>
      </c>
      <c r="U91" s="183">
        <f>(R91/$R$101)*100</f>
        <v>1.001669449081803</v>
      </c>
      <c r="V91" s="188">
        <f>($AA$103*U91%)</f>
        <v>93925.783664203627</v>
      </c>
      <c r="W91" s="488">
        <f>($AA$104*U91%)</f>
        <v>118874.81995000818</v>
      </c>
      <c r="X91" s="488">
        <f t="shared" si="36"/>
        <v>61051.759381732358</v>
      </c>
      <c r="Y91" s="488">
        <f t="shared" si="37"/>
        <v>77268.632967505328</v>
      </c>
      <c r="Z91" s="529">
        <f t="shared" si="38"/>
        <v>30244.102339873563</v>
      </c>
      <c r="AA91" s="529">
        <f t="shared" si="39"/>
        <v>38277.692023902629</v>
      </c>
      <c r="AB91" s="489">
        <v>31.079422341125323</v>
      </c>
      <c r="AC91" s="492">
        <f>(Z91/(AB91*Scaling!$K$5))/1000</f>
        <v>6.0956430529504155</v>
      </c>
      <c r="AD91" s="492">
        <f>(AA91/(AC91*Scaling!$K$5))/1000</f>
        <v>39.33489390048689</v>
      </c>
      <c r="AE91" s="193">
        <f>(X91/(AB91*Scaling!$K$5))/1000</f>
        <v>12.304869516825375</v>
      </c>
      <c r="AF91" s="193">
        <f>(Y91/(AB91*Scaling!$K$5))/1000</f>
        <v>15.573350482232179</v>
      </c>
      <c r="AG91" s="491">
        <f>Z91*Scaling!$K$5</f>
        <v>4828.2409148219058</v>
      </c>
      <c r="AH91" s="491">
        <f>AA91*Scaling!$K$5</f>
        <v>6110.7424078214981</v>
      </c>
      <c r="AI91" s="491">
        <f>Z91*'Final insect weight kjg '!$C$21</f>
        <v>1829.4977973211205</v>
      </c>
      <c r="AJ91" s="491">
        <f>AA91*'Final insect weight kjg '!$C$21</f>
        <v>2315.4581497345521</v>
      </c>
      <c r="AK91" s="143">
        <f>AB91*'Final insect weight kjg '!$C$21</f>
        <v>1.88002718930554</v>
      </c>
      <c r="AL91" s="143">
        <f>AB91*Scaling!$K$5</f>
        <v>4.9615933999342037</v>
      </c>
      <c r="AM91" s="483">
        <f t="shared" si="40"/>
        <v>2568.1761105834867</v>
      </c>
      <c r="AN91" s="483">
        <f t="shared" si="41"/>
        <v>3250.3478899572374</v>
      </c>
      <c r="AO91" s="153">
        <f t="shared" si="42"/>
        <v>973.12305254314731</v>
      </c>
      <c r="AP91" s="153">
        <f t="shared" si="43"/>
        <v>466.6763201041943</v>
      </c>
      <c r="AQ91" s="153">
        <v>11.776490800314368</v>
      </c>
      <c r="AR91" s="143">
        <f>(Z91*Scaling!$K$5)</f>
        <v>4828.2409148219058</v>
      </c>
      <c r="AS91" s="143">
        <f>(AA91*Scaling!$K$5)</f>
        <v>6110.7424078214981</v>
      </c>
      <c r="AT91" s="598"/>
      <c r="AU91" s="475"/>
      <c r="AV91" s="500"/>
      <c r="AW91" s="479">
        <v>1830</v>
      </c>
      <c r="AX91" s="480">
        <v>2315</v>
      </c>
      <c r="AY91" s="186" t="str">
        <f t="shared" si="44"/>
        <v>1830-2315</v>
      </c>
      <c r="BC91"/>
      <c r="BD91"/>
      <c r="BE91"/>
      <c r="BF91"/>
      <c r="BG91"/>
      <c r="BH91"/>
    </row>
    <row r="92" spans="1:60" s="182" customFormat="1" ht="15" thickBot="1">
      <c r="A92" s="189"/>
      <c r="C92" s="190"/>
      <c r="D92" s="190"/>
      <c r="J92" s="190"/>
      <c r="Q92" s="182" t="s">
        <v>15</v>
      </c>
      <c r="R92" s="184">
        <v>181</v>
      </c>
      <c r="S92" s="474">
        <f t="shared" si="34"/>
        <v>7.20288662594358</v>
      </c>
      <c r="T92" s="474">
        <f t="shared" si="35"/>
        <v>9.1161533859598816</v>
      </c>
      <c r="U92" s="183">
        <f>(R92/$R$101)*100</f>
        <v>15.108514190317196</v>
      </c>
      <c r="V92" s="188">
        <f>($AA$103*U92%)</f>
        <v>1416713.9036017382</v>
      </c>
      <c r="W92" s="488">
        <f>($AA$104*U92%)</f>
        <v>1793028.5342459567</v>
      </c>
      <c r="X92" s="488">
        <f t="shared" si="36"/>
        <v>920864.03734112985</v>
      </c>
      <c r="Y92" s="488">
        <f t="shared" si="37"/>
        <v>1165468.5472598718</v>
      </c>
      <c r="Z92" s="529">
        <f t="shared" si="38"/>
        <v>456181.87695975968</v>
      </c>
      <c r="AA92" s="529">
        <f t="shared" si="39"/>
        <v>577355.18802719796</v>
      </c>
      <c r="AB92" s="489">
        <v>31.079422341125323</v>
      </c>
      <c r="AC92" s="492">
        <f>(Z92/(AB92*Scaling!$K$5))/1000</f>
        <v>91.942616048668782</v>
      </c>
      <c r="AD92" s="492">
        <f>(AA92/(AC92*Scaling!$K$5))/1000</f>
        <v>39.334893900486883</v>
      </c>
      <c r="AE92" s="193">
        <f>(X92/(AB92*Scaling!$K$5))/1000</f>
        <v>185.59844854544943</v>
      </c>
      <c r="AF92" s="193">
        <f>(Y92/(AB92*Scaling!$K$5))/1000</f>
        <v>234.89803644033532</v>
      </c>
      <c r="AG92" s="491">
        <f>Z92*Scaling!$K$5</f>
        <v>72825.967131897094</v>
      </c>
      <c r="AH92" s="491">
        <f>AA92*Scaling!$K$5</f>
        <v>92170.364651307595</v>
      </c>
      <c r="AI92" s="491">
        <f>Z92*'Final insect weight kjg '!$C$21</f>
        <v>27594.925109593572</v>
      </c>
      <c r="AJ92" s="491">
        <f>AA92*'Final insect weight kjg '!$C$21</f>
        <v>34924.827091829495</v>
      </c>
      <c r="AK92" s="143">
        <f>AB92*'Final insect weight kjg '!$C$21</f>
        <v>1.88002718930554</v>
      </c>
      <c r="AL92" s="143">
        <f>AB92*Scaling!$K$5</f>
        <v>4.9615933999342037</v>
      </c>
      <c r="AM92" s="483">
        <f t="shared" si="40"/>
        <v>38736.656334634259</v>
      </c>
      <c r="AN92" s="483">
        <f t="shared" si="41"/>
        <v>49026.080673521668</v>
      </c>
      <c r="AO92" s="153">
        <f t="shared" si="42"/>
        <v>14677.939375859141</v>
      </c>
      <c r="AP92" s="153">
        <f t="shared" si="43"/>
        <v>7039.0344949049304</v>
      </c>
      <c r="AQ92" s="153">
        <v>11.776490800314368</v>
      </c>
      <c r="AR92" s="143">
        <f>(Z92*Scaling!$K$5)</f>
        <v>72825.967131897094</v>
      </c>
      <c r="AS92" s="143">
        <f>(AA92*Scaling!$K$5)</f>
        <v>92170.364651307595</v>
      </c>
      <c r="AT92" s="598"/>
      <c r="AU92" s="475"/>
      <c r="AV92" s="500"/>
      <c r="AW92" s="479">
        <v>27595</v>
      </c>
      <c r="AX92" s="480">
        <v>34925</v>
      </c>
      <c r="AY92" s="186" t="str">
        <f t="shared" si="44"/>
        <v>27595-34925</v>
      </c>
      <c r="BC92"/>
      <c r="BD92"/>
      <c r="BE92"/>
      <c r="BF92"/>
      <c r="BG92"/>
      <c r="BH92"/>
    </row>
    <row r="93" spans="1:60" s="182" customFormat="1" ht="15" thickBot="1">
      <c r="A93" s="189"/>
      <c r="C93" s="190"/>
      <c r="D93" s="190"/>
      <c r="J93" s="190"/>
      <c r="Q93" s="182" t="s">
        <v>16</v>
      </c>
      <c r="R93" s="184" t="s">
        <v>49</v>
      </c>
      <c r="S93" s="474"/>
      <c r="T93" s="474"/>
      <c r="U93" s="183"/>
      <c r="V93" s="188">
        <f>($AA$103*U93%)</f>
        <v>0</v>
      </c>
      <c r="W93" s="488">
        <f>($AA$104*U93%)</f>
        <v>0</v>
      </c>
      <c r="X93" s="488">
        <f t="shared" si="36"/>
        <v>0</v>
      </c>
      <c r="Y93" s="488">
        <f t="shared" si="37"/>
        <v>0</v>
      </c>
      <c r="Z93" s="529">
        <f t="shared" si="38"/>
        <v>0</v>
      </c>
      <c r="AA93" s="529">
        <f t="shared" si="39"/>
        <v>0</v>
      </c>
      <c r="AB93" s="489">
        <v>18.568995029361712</v>
      </c>
      <c r="AC93" s="492">
        <f>(Z93/(AB93*Scaling!$K$5))/1000</f>
        <v>0</v>
      </c>
      <c r="AD93" s="492"/>
      <c r="AE93" s="193">
        <f>(X93/(AB93*Scaling!$K$5))/1000</f>
        <v>0</v>
      </c>
      <c r="AF93" s="193">
        <f>(Y93/(AB93*Scaling!$K$5))/1000</f>
        <v>0</v>
      </c>
      <c r="AG93" s="491">
        <f>Z93*Scaling!$K$5</f>
        <v>0</v>
      </c>
      <c r="AH93" s="491">
        <f>AA93*Scaling!$K$5</f>
        <v>0</v>
      </c>
      <c r="AI93" s="491">
        <f>Z93*'Final insect weight kjg '!$C$21</f>
        <v>0</v>
      </c>
      <c r="AJ93" s="491">
        <f>AA93*'Final insect weight kjg '!$C$21</f>
        <v>0</v>
      </c>
      <c r="AK93" s="143">
        <f>AB93*'Final insect weight kjg '!$C$21</f>
        <v>1.1232581851138554</v>
      </c>
      <c r="AL93" s="143">
        <f>AB93*Scaling!$K$5</f>
        <v>2.9643988285837688</v>
      </c>
      <c r="AM93" s="483">
        <f t="shared" si="40"/>
        <v>0</v>
      </c>
      <c r="AN93" s="483">
        <f t="shared" si="41"/>
        <v>0</v>
      </c>
      <c r="AO93" s="153">
        <f t="shared" si="42"/>
        <v>0</v>
      </c>
      <c r="AP93" s="153">
        <f t="shared" si="43"/>
        <v>0</v>
      </c>
      <c r="AQ93" s="153">
        <v>7.0360895622245847</v>
      </c>
      <c r="AR93" s="143">
        <f>(Z93*Scaling!$K$5)</f>
        <v>0</v>
      </c>
      <c r="AS93" s="143">
        <f>(AA93*Scaling!$K$5)</f>
        <v>0</v>
      </c>
      <c r="AT93" s="598"/>
      <c r="AU93" s="475"/>
      <c r="AV93" s="500"/>
      <c r="AW93" s="479">
        <v>5641</v>
      </c>
      <c r="AX93" s="480">
        <v>7139</v>
      </c>
      <c r="AY93" s="186" t="str">
        <f t="shared" si="44"/>
        <v>5641-7139</v>
      </c>
      <c r="BC93"/>
      <c r="BD93"/>
      <c r="BE93"/>
      <c r="BF93"/>
      <c r="BG93"/>
      <c r="BH93"/>
    </row>
    <row r="94" spans="1:60" s="182" customFormat="1" ht="15" thickBot="1">
      <c r="A94" s="189"/>
      <c r="C94" s="190"/>
      <c r="D94" s="190"/>
      <c r="J94" s="190"/>
      <c r="Q94" s="182" t="s">
        <v>17</v>
      </c>
      <c r="R94" s="184">
        <v>37</v>
      </c>
      <c r="S94" s="474">
        <f t="shared" si="34"/>
        <v>1.4724132881763121</v>
      </c>
      <c r="T94" s="474">
        <f t="shared" si="35"/>
        <v>1.8635230678481525</v>
      </c>
      <c r="U94" s="183">
        <f>(R94/$R$101)*100</f>
        <v>3.0884808013355594</v>
      </c>
      <c r="V94" s="188">
        <f>($AA$103*U94%)</f>
        <v>289604.49963129451</v>
      </c>
      <c r="W94" s="488">
        <f>($AA$104*U94%)</f>
        <v>366530.69484585855</v>
      </c>
      <c r="X94" s="488">
        <f t="shared" si="36"/>
        <v>188242.92476034144</v>
      </c>
      <c r="Y94" s="488">
        <f t="shared" si="37"/>
        <v>238244.95164980806</v>
      </c>
      <c r="Z94" s="529">
        <f t="shared" si="38"/>
        <v>93252.648881276837</v>
      </c>
      <c r="AA94" s="529">
        <f t="shared" si="39"/>
        <v>118022.88374036644</v>
      </c>
      <c r="AB94" s="489">
        <v>16.452710169737028</v>
      </c>
      <c r="AC94" s="492">
        <f>(Z94/(AB94*Scaling!$K$5))/1000</f>
        <v>35.503853814810753</v>
      </c>
      <c r="AD94" s="492">
        <f>(AA94/(AC94*Scaling!$K$5))/1000</f>
        <v>20.822961308573504</v>
      </c>
      <c r="AE94" s="193">
        <f>(X94/(AB94*Scaling!$K$5))/1000</f>
        <v>71.669270123065189</v>
      </c>
      <c r="AF94" s="193">
        <f>(Y94/(AB94*Scaling!$K$5))/1000</f>
        <v>90.706419999504718</v>
      </c>
      <c r="AG94" s="491">
        <f>Z94*Scaling!$K$5</f>
        <v>14887.07615403421</v>
      </c>
      <c r="AH94" s="491">
        <f>AA94*Scaling!$K$5</f>
        <v>18841.455757449618</v>
      </c>
      <c r="AI94" s="491">
        <f>Z94*'Final insect weight kjg '!$C$21</f>
        <v>5640.9515417401226</v>
      </c>
      <c r="AJ94" s="491">
        <f>AA94*'Final insect weight kjg '!$C$21</f>
        <v>7139.3292950148689</v>
      </c>
      <c r="AK94" s="143">
        <f>AB94*'Final insect weight kjg '!$C$21</f>
        <v>0.99524187153053145</v>
      </c>
      <c r="AL94" s="143">
        <f>AB94*Scaling!$K$5</f>
        <v>2.6265500463044282</v>
      </c>
      <c r="AM94" s="483">
        <f t="shared" si="40"/>
        <v>14958.249426483773</v>
      </c>
      <c r="AN94" s="483">
        <f t="shared" si="41"/>
        <v>18931.534430393596</v>
      </c>
      <c r="AO94" s="153">
        <f t="shared" si="42"/>
        <v>5667.9202343699553</v>
      </c>
      <c r="AP94" s="153">
        <f t="shared" si="43"/>
        <v>2718.1394487647203</v>
      </c>
      <c r="AQ94" s="153">
        <v>6.2341953408111932</v>
      </c>
      <c r="AR94" s="143">
        <f>(Z94*Scaling!$K$5)</f>
        <v>14887.07615403421</v>
      </c>
      <c r="AS94" s="143">
        <f>(AA94*Scaling!$K$5)</f>
        <v>18841.455757449618</v>
      </c>
      <c r="AT94" s="598"/>
      <c r="AU94" s="475"/>
      <c r="AV94" s="500"/>
      <c r="AW94" s="479">
        <v>610</v>
      </c>
      <c r="AX94" s="480">
        <v>772</v>
      </c>
      <c r="AY94" s="186" t="str">
        <f t="shared" si="44"/>
        <v>610-772</v>
      </c>
      <c r="BC94"/>
      <c r="BD94"/>
      <c r="BE94"/>
      <c r="BF94"/>
      <c r="BG94"/>
      <c r="BH94"/>
    </row>
    <row r="95" spans="1:60" s="182" customFormat="1" ht="15" thickBot="1">
      <c r="A95" s="189"/>
      <c r="C95" s="190"/>
      <c r="D95" s="190"/>
      <c r="J95" s="190"/>
      <c r="Q95" s="182" t="s">
        <v>18</v>
      </c>
      <c r="R95" s="184">
        <v>4</v>
      </c>
      <c r="S95" s="474">
        <f t="shared" si="34"/>
        <v>0.15917981493797967</v>
      </c>
      <c r="T95" s="474">
        <f t="shared" si="35"/>
        <v>0.20146195328088135</v>
      </c>
      <c r="U95" s="183">
        <f>(R95/$R$101)*100</f>
        <v>0.333889816360601</v>
      </c>
      <c r="V95" s="188">
        <f>($AA$103*U95%)</f>
        <v>31308.594554734544</v>
      </c>
      <c r="W95" s="488">
        <f>($AA$104*U95%)</f>
        <v>39624.939983336059</v>
      </c>
      <c r="X95" s="488">
        <f t="shared" si="36"/>
        <v>20350.586460577455</v>
      </c>
      <c r="Y95" s="488">
        <f t="shared" si="37"/>
        <v>25756.210989168438</v>
      </c>
      <c r="Z95" s="529">
        <f t="shared" si="38"/>
        <v>10081.367446624523</v>
      </c>
      <c r="AA95" s="529">
        <f t="shared" si="39"/>
        <v>12759.230674634211</v>
      </c>
      <c r="AB95" s="489">
        <v>20.310716197017424</v>
      </c>
      <c r="AC95" s="492">
        <f>(Z95/(AB95*Scaling!$K$5))/1000</f>
        <v>3.1091807734351358</v>
      </c>
      <c r="AD95" s="492">
        <f>(AA95/(AC95*Scaling!$K$5))/1000</f>
        <v>25.705750186850281</v>
      </c>
      <c r="AE95" s="193">
        <f>(X95/(AB95*Scaling!$K$5))/1000</f>
        <v>6.2762965923380083</v>
      </c>
      <c r="AF95" s="193">
        <f>(Y95/(AB95*Scaling!$K$5))/1000</f>
        <v>7.9434378746778211</v>
      </c>
      <c r="AG95" s="491">
        <f>Z95*Scaling!$K$5</f>
        <v>1609.4136382739687</v>
      </c>
      <c r="AH95" s="491">
        <f>AA95*Scaling!$K$5</f>
        <v>2036.9141359404996</v>
      </c>
      <c r="AI95" s="491">
        <f>Z95*'Final insect weight kjg '!$C$21</f>
        <v>609.83259910704032</v>
      </c>
      <c r="AJ95" s="491">
        <f>AA95*'Final insect weight kjg '!$C$21</f>
        <v>771.81938324485088</v>
      </c>
      <c r="AK95" s="143">
        <f>AB95*'Final insect weight kjg '!$C$21</f>
        <v>1.2286167440806619</v>
      </c>
      <c r="AL95" s="143">
        <f>AB95*Scaling!$K$5</f>
        <v>3.2424513662118981</v>
      </c>
      <c r="AM95" s="483">
        <f t="shared" si="40"/>
        <v>1309.9395283581666</v>
      </c>
      <c r="AN95" s="483">
        <f t="shared" si="41"/>
        <v>1657.8922155783112</v>
      </c>
      <c r="AO95" s="153">
        <f t="shared" si="42"/>
        <v>496.35706337647247</v>
      </c>
      <c r="AP95" s="153">
        <f t="shared" si="43"/>
        <v>238.03576247515306</v>
      </c>
      <c r="AQ95" s="153">
        <v>7.6960556028568456</v>
      </c>
      <c r="AR95" s="143">
        <f>(Z95*Scaling!$K$5)</f>
        <v>1609.4136382739687</v>
      </c>
      <c r="AS95" s="143">
        <f>(AA95*Scaling!$K$5)</f>
        <v>2036.9141359404996</v>
      </c>
      <c r="AT95" s="598"/>
      <c r="AU95" s="475"/>
      <c r="AV95" s="500"/>
      <c r="AW95" s="479">
        <v>152</v>
      </c>
      <c r="AX95" s="480">
        <v>193</v>
      </c>
      <c r="AY95" s="186" t="str">
        <f t="shared" si="44"/>
        <v>152-193</v>
      </c>
      <c r="BC95"/>
      <c r="BD95"/>
      <c r="BE95"/>
      <c r="BF95"/>
      <c r="BG95"/>
      <c r="BH95"/>
    </row>
    <row r="96" spans="1:60" s="182" customFormat="1" ht="15" thickBot="1">
      <c r="A96" s="189"/>
      <c r="C96" s="190"/>
      <c r="D96" s="190"/>
      <c r="J96" s="190"/>
      <c r="Q96" s="182" t="s">
        <v>19</v>
      </c>
      <c r="R96" s="184">
        <v>1</v>
      </c>
      <c r="S96" s="474">
        <f t="shared" si="34"/>
        <v>3.9794953734494917E-2</v>
      </c>
      <c r="T96" s="474">
        <f t="shared" si="35"/>
        <v>5.0365488320220336E-2</v>
      </c>
      <c r="U96" s="183">
        <f>(R96/$R$101)*100</f>
        <v>8.347245409015025E-2</v>
      </c>
      <c r="V96" s="188">
        <f>($AA$103*U96%)</f>
        <v>7827.1486386836359</v>
      </c>
      <c r="W96" s="488">
        <f>($AA$104*U96%)</f>
        <v>9906.2349958340146</v>
      </c>
      <c r="X96" s="488">
        <f t="shared" si="36"/>
        <v>5087.6466151443638</v>
      </c>
      <c r="Y96" s="488">
        <f t="shared" si="37"/>
        <v>6439.0527472921094</v>
      </c>
      <c r="Z96" s="529">
        <f t="shared" si="38"/>
        <v>2520.3418616561307</v>
      </c>
      <c r="AA96" s="529">
        <f t="shared" si="39"/>
        <v>3189.8076686585528</v>
      </c>
      <c r="AB96" s="489">
        <v>25.769982007465167</v>
      </c>
      <c r="AC96" s="492">
        <f>(Z96/(AB96*Scaling!$K$5))/1000</f>
        <v>0.61262837005639625</v>
      </c>
      <c r="AD96" s="492">
        <f>(AA96/(AC96*Scaling!$K$5))/1000</f>
        <v>32.615133478198231</v>
      </c>
      <c r="AE96" s="193">
        <f>(X96/(AB96*Scaling!$K$5))/1000</f>
        <v>1.2366721755796821</v>
      </c>
      <c r="AF96" s="193">
        <f>(Y96/(AB96*Scaling!$K$5))/1000</f>
        <v>1.5651632222180409</v>
      </c>
      <c r="AG96" s="491">
        <f>Z96*Scaling!$K$5</f>
        <v>402.35340956849217</v>
      </c>
      <c r="AH96" s="491">
        <f>AA96*Scaling!$K$5</f>
        <v>509.2285339851249</v>
      </c>
      <c r="AI96" s="491">
        <f>Z96*'Final insect weight kjg '!$C$21</f>
        <v>152.45814977676008</v>
      </c>
      <c r="AJ96" s="491">
        <f>AA96*'Final insect weight kjg '!$C$21</f>
        <v>192.95484581121272</v>
      </c>
      <c r="AK96" s="143">
        <f>AB96*'Final insect weight kjg '!$C$21</f>
        <v>1.5588535176164044</v>
      </c>
      <c r="AL96" s="143">
        <f>AB96*Scaling!$K$5</f>
        <v>4.1139816320032931</v>
      </c>
      <c r="AM96" s="483">
        <f t="shared" si="40"/>
        <v>258.10854260618311</v>
      </c>
      <c r="AN96" s="483">
        <f t="shared" si="41"/>
        <v>326.66862423595182</v>
      </c>
      <c r="AO96" s="153">
        <f t="shared" si="42"/>
        <v>97.801459889495717</v>
      </c>
      <c r="AP96" s="153">
        <f t="shared" si="43"/>
        <v>46.902213736247006</v>
      </c>
      <c r="AQ96" s="153">
        <v>9.764658837741834</v>
      </c>
      <c r="AR96" s="143">
        <f>(Z96*Scaling!$K$5)</f>
        <v>402.35340956849217</v>
      </c>
      <c r="AS96" s="143">
        <f>(AA96*Scaling!$K$5)</f>
        <v>509.2285339851249</v>
      </c>
      <c r="AT96" s="598"/>
      <c r="AU96" s="475"/>
      <c r="AV96" s="500"/>
      <c r="AW96" s="479">
        <v>152</v>
      </c>
      <c r="AX96" s="480">
        <v>193</v>
      </c>
      <c r="AY96" s="186" t="str">
        <f t="shared" si="44"/>
        <v>152-193</v>
      </c>
      <c r="BC96"/>
      <c r="BD96"/>
      <c r="BE96"/>
      <c r="BF96"/>
      <c r="BG96"/>
      <c r="BH96"/>
    </row>
    <row r="97" spans="1:60" s="182" customFormat="1" ht="15" thickBot="1">
      <c r="A97" s="189"/>
      <c r="C97" s="190"/>
      <c r="D97" s="190"/>
      <c r="J97" s="190"/>
      <c r="Q97" s="182" t="s">
        <v>20</v>
      </c>
      <c r="R97" s="184">
        <v>1</v>
      </c>
      <c r="S97" s="474">
        <f t="shared" si="34"/>
        <v>3.9794953734494917E-2</v>
      </c>
      <c r="T97" s="474">
        <f t="shared" si="35"/>
        <v>5.0365488320220336E-2</v>
      </c>
      <c r="U97" s="183">
        <f>(R97/$R$101)*100</f>
        <v>8.347245409015025E-2</v>
      </c>
      <c r="V97" s="188">
        <f>($AA$103*U97%)</f>
        <v>7827.1486386836359</v>
      </c>
      <c r="W97" s="488">
        <f>($AA$104*U97%)</f>
        <v>9906.2349958340146</v>
      </c>
      <c r="X97" s="488">
        <f t="shared" si="36"/>
        <v>5087.6466151443638</v>
      </c>
      <c r="Y97" s="488">
        <f t="shared" si="37"/>
        <v>6439.0527472921094</v>
      </c>
      <c r="Z97" s="529">
        <f t="shared" si="38"/>
        <v>2520.3418616561307</v>
      </c>
      <c r="AA97" s="529">
        <f t="shared" si="39"/>
        <v>3189.8076686585528</v>
      </c>
      <c r="AB97" s="489">
        <v>20.881925827270106</v>
      </c>
      <c r="AC97" s="492">
        <f>(Z97/(AB97*Scaling!$K$5))/1000</f>
        <v>0.75603285847318491</v>
      </c>
      <c r="AD97" s="492">
        <f>(AA97/(AC97*Scaling!$K$5))/1000</f>
        <v>26.428687375138828</v>
      </c>
      <c r="AE97" s="193">
        <f>(X97/(AB97*Scaling!$K$5))/1000</f>
        <v>1.5261532857377957</v>
      </c>
      <c r="AF97" s="193">
        <f>(Y97/(AB97*Scaling!$K$5))/1000</f>
        <v>1.931537752261905</v>
      </c>
      <c r="AG97" s="491">
        <f>Z97*Scaling!$K$5</f>
        <v>402.35340956849217</v>
      </c>
      <c r="AH97" s="491">
        <f>AA97*Scaling!$K$5</f>
        <v>509.2285339851249</v>
      </c>
      <c r="AI97" s="491">
        <f>Z97*'Final insect weight kjg '!$C$21</f>
        <v>152.45814977676008</v>
      </c>
      <c r="AJ97" s="491">
        <f>AA97*'Final insect weight kjg '!$C$21</f>
        <v>192.95484581121272</v>
      </c>
      <c r="AK97" s="143">
        <f>AB97*'Final insect weight kjg '!$C$21</f>
        <v>1.2631698198708512</v>
      </c>
      <c r="AL97" s="143">
        <f>AB97*Scaling!$K$5</f>
        <v>3.3336406393049947</v>
      </c>
      <c r="AM97" s="483">
        <f t="shared" si="40"/>
        <v>318.52677544942412</v>
      </c>
      <c r="AN97" s="483">
        <f t="shared" si="41"/>
        <v>403.13545017817904</v>
      </c>
      <c r="AO97" s="153">
        <f t="shared" si="42"/>
        <v>120.69489579187989</v>
      </c>
      <c r="AP97" s="153">
        <f t="shared" si="43"/>
        <v>57.881117579440236</v>
      </c>
      <c r="AQ97" s="153">
        <v>7.9124960785480711</v>
      </c>
      <c r="AR97" s="143">
        <f>(Z97*Scaling!$K$5)</f>
        <v>402.35340956849217</v>
      </c>
      <c r="AS97" s="143">
        <f>(AA97*Scaling!$K$5)</f>
        <v>509.2285339851249</v>
      </c>
      <c r="AT97" s="598"/>
      <c r="AU97" s="475"/>
      <c r="AV97" s="500"/>
      <c r="AW97" s="479">
        <v>3659</v>
      </c>
      <c r="AX97" s="480">
        <v>4631</v>
      </c>
      <c r="AY97" s="186" t="str">
        <f t="shared" si="44"/>
        <v>3659-4631</v>
      </c>
      <c r="BC97"/>
      <c r="BD97"/>
      <c r="BE97"/>
      <c r="BF97"/>
      <c r="BG97"/>
      <c r="BH97"/>
    </row>
    <row r="98" spans="1:60" s="182" customFormat="1" ht="15" thickBot="1">
      <c r="A98" s="189"/>
      <c r="C98" s="190"/>
      <c r="D98" s="190"/>
      <c r="J98" s="190"/>
      <c r="Q98" s="182" t="s">
        <v>41</v>
      </c>
      <c r="R98" s="184">
        <v>24</v>
      </c>
      <c r="S98" s="474">
        <f t="shared" si="34"/>
        <v>0.95507888962787812</v>
      </c>
      <c r="T98" s="474">
        <f t="shared" si="35"/>
        <v>1.2087717196852881</v>
      </c>
      <c r="U98" s="183">
        <f>(R98/$R$101)*100</f>
        <v>2.003338898163606</v>
      </c>
      <c r="V98" s="188">
        <f>($AA$103*U98%)</f>
        <v>187851.56732840725</v>
      </c>
      <c r="W98" s="488">
        <f>($AA$104*U98%)</f>
        <v>237749.63990001637</v>
      </c>
      <c r="X98" s="488">
        <f t="shared" si="36"/>
        <v>122103.51876346472</v>
      </c>
      <c r="Y98" s="488">
        <f t="shared" si="37"/>
        <v>154537.26593501066</v>
      </c>
      <c r="Z98" s="529">
        <f t="shared" si="38"/>
        <v>60488.204679747127</v>
      </c>
      <c r="AA98" s="529">
        <f t="shared" si="39"/>
        <v>76555.384047805259</v>
      </c>
      <c r="AB98" s="489">
        <v>28.345107389751842</v>
      </c>
      <c r="AC98" s="492">
        <f>(Z98/(AB98*Scaling!$K$5))/1000</f>
        <v>13.367320312350465</v>
      </c>
      <c r="AD98" s="492">
        <f>(AA98/(AC98*Scaling!$K$5))/1000</f>
        <v>35.87427654015481</v>
      </c>
      <c r="AE98" s="193">
        <f>(X98/(AB98*Scaling!$K$5))/1000</f>
        <v>26.983721127415539</v>
      </c>
      <c r="AF98" s="193">
        <f>(Y98/(AB98*Scaling!$K$5))/1000</f>
        <v>34.151272051885428</v>
      </c>
      <c r="AG98" s="491">
        <f>Z98*Scaling!$K$5</f>
        <v>9656.4818296438116</v>
      </c>
      <c r="AH98" s="491">
        <f>AA98*Scaling!$K$5</f>
        <v>12221.484815642996</v>
      </c>
      <c r="AI98" s="491">
        <f>Z98*'Final insect weight kjg '!$C$21</f>
        <v>3658.995594642241</v>
      </c>
      <c r="AJ98" s="491">
        <f>AA98*'Final insect weight kjg '!$C$21</f>
        <v>4630.9162994691042</v>
      </c>
      <c r="AK98" s="143">
        <f>AB98*'Final insect weight kjg '!$C$21</f>
        <v>1.7146255806049624</v>
      </c>
      <c r="AL98" s="143">
        <f>AB98*Scaling!$K$5</f>
        <v>4.5250808139803667</v>
      </c>
      <c r="AM98" s="483">
        <f t="shared" si="40"/>
        <v>5631.8311932782235</v>
      </c>
      <c r="AN98" s="483">
        <f t="shared" si="41"/>
        <v>7127.7863539927785</v>
      </c>
      <c r="AO98" s="153">
        <f t="shared" si="42"/>
        <v>2133.9910217315532</v>
      </c>
      <c r="AP98" s="153">
        <f t="shared" si="43"/>
        <v>1023.3886398584873</v>
      </c>
      <c r="AQ98" s="153">
        <v>10.740415080612111</v>
      </c>
      <c r="AR98" s="143">
        <f>(Z98*Scaling!$K$5)</f>
        <v>9656.4818296438116</v>
      </c>
      <c r="AS98" s="143">
        <f>(AA98*Scaling!$K$5)</f>
        <v>12221.484815642996</v>
      </c>
      <c r="AT98" s="598"/>
      <c r="AU98" s="475"/>
      <c r="AV98" s="500"/>
      <c r="AW98" s="479">
        <v>1372</v>
      </c>
      <c r="AX98" s="480">
        <v>1737</v>
      </c>
      <c r="AY98" s="186" t="str">
        <f t="shared" si="44"/>
        <v>1372-1737</v>
      </c>
      <c r="BC98"/>
      <c r="BD98"/>
      <c r="BE98"/>
      <c r="BF98"/>
      <c r="BG98"/>
      <c r="BH98"/>
    </row>
    <row r="99" spans="1:60" s="182" customFormat="1" ht="15" thickBot="1">
      <c r="A99" s="189"/>
      <c r="C99" s="190"/>
      <c r="D99" s="190"/>
      <c r="J99" s="190"/>
      <c r="Q99" s="182" t="s">
        <v>21</v>
      </c>
      <c r="R99" s="184">
        <v>9</v>
      </c>
      <c r="S99" s="474">
        <f t="shared" si="34"/>
        <v>0.35815458361045427</v>
      </c>
      <c r="T99" s="474">
        <f t="shared" si="35"/>
        <v>0.453289394881983</v>
      </c>
      <c r="U99" s="183">
        <f>(R99/$R$101)*100</f>
        <v>0.75125208681135225</v>
      </c>
      <c r="V99" s="188">
        <f>($AA$103*U99%)</f>
        <v>70444.337748152728</v>
      </c>
      <c r="W99" s="488">
        <f>($AA$104*U99%)</f>
        <v>89156.114962506137</v>
      </c>
      <c r="X99" s="488">
        <f t="shared" si="36"/>
        <v>45788.819536299277</v>
      </c>
      <c r="Y99" s="488">
        <f t="shared" si="37"/>
        <v>57951.474725628992</v>
      </c>
      <c r="Z99" s="529">
        <f t="shared" si="38"/>
        <v>22683.076754905178</v>
      </c>
      <c r="AA99" s="529">
        <f t="shared" si="39"/>
        <v>28708.269017926978</v>
      </c>
      <c r="AB99" s="489">
        <v>64.855703264427248</v>
      </c>
      <c r="AC99" s="492">
        <f>(Z99/(AB99*Scaling!$K$5))/1000</f>
        <v>2.1908142462542335</v>
      </c>
      <c r="AD99" s="492">
        <f>(AA99/(AC99*Scaling!$K$5))/1000</f>
        <v>82.082999444041064</v>
      </c>
      <c r="AE99" s="193">
        <f>(X99/(AB99*Scaling!$K$5))/1000</f>
        <v>4.4224511182150685</v>
      </c>
      <c r="AF99" s="193">
        <f>(Y99/(AB99*Scaling!$K$5))/1000</f>
        <v>5.5971646964909665</v>
      </c>
      <c r="AG99" s="491">
        <f>Z99*Scaling!$K$5</f>
        <v>3621.18068611643</v>
      </c>
      <c r="AH99" s="491">
        <f>AA99*Scaling!$K$5</f>
        <v>4583.0568058661247</v>
      </c>
      <c r="AI99" s="491">
        <f>Z99*'Final insect weight kjg '!$C$21</f>
        <v>1372.1233479908408</v>
      </c>
      <c r="AJ99" s="491">
        <f>AA99*'Final insect weight kjg '!$C$21</f>
        <v>1736.5936123009146</v>
      </c>
      <c r="AK99" s="143">
        <f>AB99*'Final insect weight kjg '!$C$21</f>
        <v>3.9231902118500068</v>
      </c>
      <c r="AL99" s="143">
        <f>AB99*Scaling!$K$5</f>
        <v>10.353719761357127</v>
      </c>
      <c r="AM99" s="483">
        <f>AG99/AK99</f>
        <v>923.01940272450815</v>
      </c>
      <c r="AN99" s="483">
        <f t="shared" si="41"/>
        <v>1168.1964315732102</v>
      </c>
      <c r="AO99" s="153">
        <f t="shared" si="42"/>
        <v>349.74683201603085</v>
      </c>
      <c r="AP99" s="153">
        <f t="shared" si="43"/>
        <v>167.72654198951281</v>
      </c>
      <c r="AQ99" s="153">
        <v>24.57486450225289</v>
      </c>
      <c r="AR99" s="143">
        <f>(Z99*Scaling!$K$5)</f>
        <v>3621.18068611643</v>
      </c>
      <c r="AS99" s="143">
        <f>(AA99*Scaling!$K$5)</f>
        <v>4583.0568058661247</v>
      </c>
      <c r="AT99" s="598"/>
      <c r="AU99" s="475"/>
      <c r="AV99" s="500"/>
      <c r="AW99" s="479">
        <v>50616</v>
      </c>
      <c r="AX99" s="480">
        <v>64061</v>
      </c>
      <c r="AY99" s="186" t="str">
        <f t="shared" si="44"/>
        <v>50616-64061</v>
      </c>
      <c r="BC99"/>
      <c r="BD99"/>
      <c r="BE99"/>
      <c r="BF99"/>
      <c r="BG99"/>
      <c r="BH99"/>
    </row>
    <row r="100" spans="1:60" s="182" customFormat="1" ht="15" thickBot="1">
      <c r="A100" s="189"/>
      <c r="C100" s="190"/>
      <c r="D100" s="190"/>
      <c r="J100" s="190"/>
      <c r="Q100" s="182" t="s">
        <v>251</v>
      </c>
      <c r="R100" s="184">
        <v>332</v>
      </c>
      <c r="S100" s="474">
        <f t="shared" si="34"/>
        <v>13.211924639852311</v>
      </c>
      <c r="T100" s="474">
        <f t="shared" si="35"/>
        <v>16.72134212231315</v>
      </c>
      <c r="U100" s="183">
        <f>(R100/$R$101)*100</f>
        <v>27.712854757929883</v>
      </c>
      <c r="V100" s="188">
        <f>($AA$103*U100%)</f>
        <v>2598613.3480429668</v>
      </c>
      <c r="W100" s="488">
        <f>($AA$104*U100%)</f>
        <v>3288870.0186168929</v>
      </c>
      <c r="X100" s="488">
        <f t="shared" si="36"/>
        <v>1689098.6762279284</v>
      </c>
      <c r="Y100" s="488">
        <f t="shared" si="37"/>
        <v>2137765.5121009806</v>
      </c>
      <c r="Z100" s="529">
        <f t="shared" si="38"/>
        <v>836753.49806983536</v>
      </c>
      <c r="AA100" s="529">
        <f t="shared" si="39"/>
        <v>1059016.1459946395</v>
      </c>
      <c r="AB100" s="489">
        <v>24.983398254330332</v>
      </c>
      <c r="AC100" s="492">
        <f>(Z100/(AB100*Scaling!$K$5))/1000</f>
        <v>209.79628451994273</v>
      </c>
      <c r="AD100" s="492">
        <f>(AA100/(AC100*Scaling!$K$5))/1000</f>
        <v>31.619613415636948</v>
      </c>
      <c r="AE100" s="193">
        <f>(X100/(AB100*Scaling!$K$5))/1000</f>
        <v>423.5018165775241</v>
      </c>
      <c r="AF100" s="193">
        <f>(Y100/(AB100*Scaling!$K$5))/1000</f>
        <v>535.99448660593123</v>
      </c>
      <c r="AG100" s="491">
        <f>Z100*Scaling!$K$5</f>
        <v>133581.3319767394</v>
      </c>
      <c r="AH100" s="491">
        <f>AA100*Scaling!$K$5</f>
        <v>169063.87328306146</v>
      </c>
      <c r="AI100" s="491">
        <f>Z100*'Final insect weight kjg '!$C$21</f>
        <v>50616.105725884343</v>
      </c>
      <c r="AJ100" s="491">
        <f>AA100*'Final insect weight kjg '!$C$21</f>
        <v>64061.008809322615</v>
      </c>
      <c r="AK100" s="143">
        <f>AB100*'Final insect weight kjg '!$C$21</f>
        <v>1.5112722329217179</v>
      </c>
      <c r="AL100" s="143">
        <f>AB100*Scaling!$K$5</f>
        <v>3.9884095182357511</v>
      </c>
      <c r="AM100" s="483">
        <f>AG100/AK100</f>
        <v>88389.986308746506</v>
      </c>
      <c r="AN100" s="483">
        <f t="shared" si="41"/>
        <v>111868.57642200773</v>
      </c>
      <c r="AO100" s="153">
        <f t="shared" si="42"/>
        <v>33492.381202577286</v>
      </c>
      <c r="AP100" s="153">
        <f t="shared" si="43"/>
        <v>16061.793182576601</v>
      </c>
      <c r="AQ100" s="153">
        <v>9.4666096581014596</v>
      </c>
      <c r="AR100" s="143">
        <f>(Z100*Scaling!$K$5)</f>
        <v>133581.3319767394</v>
      </c>
      <c r="AS100" s="143">
        <f>(AA100*Scaling!$K$5)</f>
        <v>169063.87328306146</v>
      </c>
      <c r="AT100" s="598"/>
      <c r="AU100" s="475"/>
      <c r="AV100" s="500"/>
      <c r="AW100" s="498">
        <v>182645</v>
      </c>
      <c r="AX100" s="499">
        <v>231160</v>
      </c>
      <c r="AY100" s="186" t="str">
        <f t="shared" si="44"/>
        <v>182645-231160</v>
      </c>
      <c r="BC100"/>
      <c r="BD100"/>
      <c r="BE100"/>
      <c r="BF100"/>
      <c r="BG100"/>
      <c r="BH100"/>
    </row>
    <row r="101" spans="1:60" s="482" customFormat="1" ht="15" thickBot="1">
      <c r="A101" s="481"/>
      <c r="C101" s="337"/>
      <c r="D101" s="337"/>
      <c r="J101" s="337"/>
      <c r="R101" s="483">
        <f>SUM(R83:R100)</f>
        <v>1198</v>
      </c>
      <c r="S101" s="337">
        <f>SUM(S83:S100)</f>
        <v>47.674354573924909</v>
      </c>
      <c r="T101" s="337">
        <f>SUM(T83:T100)</f>
        <v>60.337855007623958</v>
      </c>
      <c r="U101" s="483">
        <v>100</v>
      </c>
      <c r="V101" s="484">
        <f>($AA$103*U101%)</f>
        <v>9376924.0691429954</v>
      </c>
      <c r="W101" s="490">
        <f>($AA$104*U101%)</f>
        <v>11867669.52500915</v>
      </c>
      <c r="X101" s="490">
        <f t="shared" si="36"/>
        <v>6095000.6449429477</v>
      </c>
      <c r="Y101" s="490">
        <f t="shared" si="37"/>
        <v>7713985.1912559476</v>
      </c>
      <c r="Z101" s="484">
        <f>SUM(Z81:Z100)</f>
        <v>3019369.5502640447</v>
      </c>
      <c r="AA101" s="484">
        <f>SUM(AA81:AA100)</f>
        <v>3821389.5870529455</v>
      </c>
      <c r="AB101" s="491"/>
      <c r="AC101" s="492">
        <f>SUM(AC83:AC100)</f>
        <v>678.55147531027092</v>
      </c>
      <c r="AD101" s="495">
        <f>SUM(AD83:AD100)</f>
        <v>743.53497244011658</v>
      </c>
      <c r="AE101" s="484">
        <f>SUM(AE83:AE100)</f>
        <v>1369.7467669306716</v>
      </c>
      <c r="AF101" s="484">
        <f>SUM(AF83:AF100)</f>
        <v>1733.5857518966382</v>
      </c>
      <c r="AG101" s="484">
        <f>SUM(AG83:AG100)</f>
        <v>482019.38466305367</v>
      </c>
      <c r="AH101" s="484">
        <f>SUM(AH83:AH100)</f>
        <v>610055.78371417965</v>
      </c>
      <c r="AI101" s="484">
        <f>SUM(AI83:AI100)</f>
        <v>182644.8634325586</v>
      </c>
      <c r="AJ101" s="484">
        <f>SUM(AJ83:AJ100)</f>
        <v>231159.90528183276</v>
      </c>
      <c r="AK101" s="470">
        <f t="shared" ref="AK101:AL101" si="45">SUM(AK83:AK100)</f>
        <v>36.660813413390741</v>
      </c>
      <c r="AL101" s="470">
        <f t="shared" si="45"/>
        <v>96.751818751775119</v>
      </c>
      <c r="AM101" s="599">
        <f t="shared" ref="AM101" si="46">SUM(AM83:AM100)</f>
        <v>285882.83033560263</v>
      </c>
      <c r="AN101" s="599">
        <f t="shared" ref="AN101:AP101" si="47">SUM(AN83:AN100)</f>
        <v>361820.45714349847</v>
      </c>
      <c r="AO101" s="600">
        <f t="shared" si="47"/>
        <v>108325.582260264</v>
      </c>
      <c r="AP101" s="600">
        <f t="shared" si="47"/>
        <v>51949.220574160347</v>
      </c>
      <c r="AQ101" s="478"/>
      <c r="AR101" s="478">
        <f>SUM(AR83:AR100)</f>
        <v>482019.38466305367</v>
      </c>
      <c r="AS101" s="478">
        <f>SUM(AS83:AS100)</f>
        <v>610055.78371417965</v>
      </c>
      <c r="AT101" s="478"/>
      <c r="AU101" s="492"/>
      <c r="AV101" s="564"/>
      <c r="AW101" s="479">
        <v>0.18</v>
      </c>
      <c r="AX101" s="480">
        <v>0.23</v>
      </c>
      <c r="AY101" s="186" t="str">
        <f t="shared" si="44"/>
        <v>0.18-0.23</v>
      </c>
      <c r="BC101"/>
      <c r="BD101"/>
      <c r="BE101"/>
      <c r="BF101"/>
      <c r="BG101"/>
      <c r="BH101"/>
    </row>
    <row r="102" spans="1:60" s="182" customFormat="1" ht="15" thickBot="1">
      <c r="A102" s="189"/>
      <c r="C102" s="190"/>
      <c r="D102" s="190"/>
      <c r="J102" s="190"/>
      <c r="Q102" s="195"/>
      <c r="R102" s="196"/>
      <c r="S102" s="196"/>
      <c r="T102" s="196"/>
      <c r="U102" s="196"/>
      <c r="V102" s="196"/>
      <c r="W102" s="196"/>
      <c r="X102" s="196"/>
      <c r="Y102" s="196"/>
      <c r="Z102" s="606"/>
      <c r="AA102" s="196"/>
      <c r="AB102" s="182" t="s">
        <v>565</v>
      </c>
      <c r="AC102" s="571">
        <f>AC101/1000</f>
        <v>0.67855147531027094</v>
      </c>
      <c r="AD102" s="571">
        <f>AD101/1000</f>
        <v>0.74353497244011657</v>
      </c>
      <c r="AE102" s="571">
        <f t="shared" ref="AE102:AF102" si="48">AE101/1000</f>
        <v>1.3697467669306715</v>
      </c>
      <c r="AF102" s="571">
        <f t="shared" si="48"/>
        <v>1.7335857518966382</v>
      </c>
      <c r="AG102" s="571">
        <f>AG101/1000000</f>
        <v>0.48201938466305366</v>
      </c>
      <c r="AH102" s="571">
        <f>AH101/1000000</f>
        <v>0.61005578371417968</v>
      </c>
      <c r="AI102" s="571">
        <f>AI101/1000000</f>
        <v>0.18264486343255859</v>
      </c>
      <c r="AJ102" s="571">
        <f>AJ101/1000000</f>
        <v>0.23115990528183275</v>
      </c>
      <c r="AK102" s="145"/>
      <c r="AL102" s="145"/>
      <c r="AM102" s="145"/>
      <c r="AN102" s="145"/>
      <c r="AO102" s="145"/>
      <c r="AP102" s="145"/>
      <c r="AQ102" s="137">
        <f t="shared" ref="AQ102" si="49">AQ101/1000000</f>
        <v>0</v>
      </c>
      <c r="AR102" s="137">
        <f t="shared" ref="AR102:AS102" si="50">AR101/1000000</f>
        <v>0.48201938466305366</v>
      </c>
      <c r="AS102" s="137">
        <f t="shared" si="50"/>
        <v>0.61005578371417968</v>
      </c>
      <c r="AT102" s="137"/>
      <c r="AU102" s="563"/>
      <c r="AW102" s="604"/>
      <c r="AX102" s="605"/>
      <c r="AY102" s="495" t="str">
        <f>AW102&amp;"-"&amp;AX102</f>
        <v>-</v>
      </c>
      <c r="BC102"/>
      <c r="BD102"/>
      <c r="BE102"/>
      <c r="BF102"/>
      <c r="BG102"/>
      <c r="BH102"/>
    </row>
    <row r="103" spans="1:60" s="182" customFormat="1" ht="14.4">
      <c r="A103" s="189"/>
      <c r="C103" s="190"/>
      <c r="D103" s="190"/>
      <c r="J103" s="190"/>
      <c r="R103" s="183"/>
      <c r="S103" s="183"/>
      <c r="T103" s="183"/>
      <c r="U103" s="183"/>
      <c r="V103" s="183"/>
      <c r="W103" s="183"/>
      <c r="X103" s="183"/>
      <c r="Y103" s="183"/>
      <c r="Z103" s="183"/>
      <c r="AA103" s="473">
        <v>9376924.0691429954</v>
      </c>
      <c r="AB103" s="469"/>
      <c r="AC103" s="468"/>
      <c r="AD103" s="468"/>
      <c r="AE103" s="468"/>
      <c r="AF103" s="468"/>
      <c r="AG103" s="483"/>
      <c r="AH103" s="483"/>
      <c r="AI103" s="483"/>
      <c r="AJ103" s="483"/>
      <c r="AK103" s="153"/>
      <c r="AL103" s="153"/>
      <c r="AM103" s="153"/>
      <c r="AN103" s="153"/>
      <c r="AO103" s="145"/>
      <c r="AP103" s="145"/>
      <c r="AQ103" s="477"/>
      <c r="AR103" s="477"/>
      <c r="AS103" s="145"/>
      <c r="AT103" s="143"/>
      <c r="AU103" s="190"/>
      <c r="AW103" s="450"/>
      <c r="AX103"/>
      <c r="BC103"/>
      <c r="BD103"/>
      <c r="BE103"/>
      <c r="BF103"/>
      <c r="BG103"/>
      <c r="BH103"/>
    </row>
    <row r="104" spans="1:60" s="182" customFormat="1" ht="14.4">
      <c r="A104" s="189"/>
      <c r="C104" s="190"/>
      <c r="D104" s="190"/>
      <c r="J104" s="190"/>
      <c r="Q104" s="182" t="s">
        <v>281</v>
      </c>
      <c r="R104"/>
      <c r="S104"/>
      <c r="T104"/>
      <c r="U104"/>
      <c r="V104"/>
      <c r="W104"/>
      <c r="X104" s="312"/>
      <c r="Y104"/>
      <c r="Z104" s="183"/>
      <c r="AA104" s="473">
        <v>11867669.52500915</v>
      </c>
      <c r="AB104" s="188"/>
      <c r="AC104" s="468">
        <f>AC102*160</f>
        <v>108.56823604964335</v>
      </c>
      <c r="AD104" s="468">
        <f>AD102*160</f>
        <v>118.96559559041864</v>
      </c>
      <c r="AG104" s="572">
        <f t="shared" ref="AG104:AH104" si="51">AG102*160</f>
        <v>77.123101546088591</v>
      </c>
      <c r="AH104" s="572">
        <f t="shared" si="51"/>
        <v>97.608925394268752</v>
      </c>
      <c r="AI104" s="572">
        <f>AI102*160</f>
        <v>29.223178149209375</v>
      </c>
      <c r="AJ104" s="572">
        <f>AJ102*160</f>
        <v>36.985584845093243</v>
      </c>
      <c r="AK104" s="139"/>
      <c r="AL104" s="139"/>
      <c r="AM104" s="145"/>
      <c r="AN104" s="477"/>
      <c r="AO104" s="477"/>
      <c r="AP104" s="477"/>
      <c r="AQ104" s="145"/>
      <c r="AR104" s="143"/>
      <c r="AS104" s="143"/>
      <c r="AT104" s="145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</row>
    <row r="105" spans="1:60" s="182" customFormat="1" ht="14.4">
      <c r="A105" s="189"/>
      <c r="C105" s="190"/>
      <c r="D105" s="190"/>
      <c r="J105" s="190"/>
      <c r="Q105" s="182" t="s">
        <v>282</v>
      </c>
      <c r="R105"/>
      <c r="S105"/>
      <c r="T105"/>
      <c r="U105"/>
      <c r="V105"/>
      <c r="W105"/>
      <c r="X105"/>
      <c r="Y105"/>
      <c r="Z105" s="183"/>
      <c r="AA105" s="183"/>
      <c r="AC105" s="468"/>
      <c r="AD105" s="468"/>
      <c r="AE105" s="468"/>
      <c r="AF105" s="468"/>
      <c r="AH105" s="183"/>
      <c r="AI105" s="183"/>
      <c r="AJ105" s="183"/>
      <c r="AK105" s="153"/>
      <c r="AL105" s="145"/>
      <c r="AM105" s="145"/>
      <c r="AN105" s="143"/>
      <c r="AO105" s="143"/>
      <c r="AP105" s="143"/>
      <c r="AQ105" s="143"/>
      <c r="AR105" s="143"/>
      <c r="AS105" s="145"/>
      <c r="AT105" s="14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</row>
    <row r="106" spans="1:60" s="182" customFormat="1" ht="14.4">
      <c r="A106" s="189"/>
      <c r="C106" s="190"/>
      <c r="D106" s="190"/>
      <c r="J106" s="190"/>
      <c r="R106"/>
      <c r="S106"/>
      <c r="T106"/>
      <c r="U106"/>
      <c r="V106"/>
      <c r="W106"/>
      <c r="X106"/>
      <c r="Y106"/>
      <c r="Z106" s="183"/>
      <c r="AA106" s="183"/>
      <c r="AC106" s="468"/>
      <c r="AD106" s="468"/>
      <c r="AE106" s="468"/>
      <c r="AF106" s="468"/>
      <c r="AG106" s="183"/>
      <c r="AH106" s="183"/>
      <c r="AI106" s="183"/>
      <c r="AJ106" s="183"/>
      <c r="AK106" s="153"/>
      <c r="AL106" s="145"/>
      <c r="AM106" s="145"/>
      <c r="AN106" s="143"/>
      <c r="AO106" s="143"/>
      <c r="AP106" s="143"/>
      <c r="AQ106" s="143"/>
      <c r="AR106" s="143"/>
      <c r="AS106" s="145"/>
      <c r="AT106" s="145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</row>
    <row r="107" spans="1:60" s="182" customFormat="1" ht="14.4">
      <c r="A107" s="189"/>
      <c r="C107" s="190"/>
      <c r="D107" s="190"/>
      <c r="J107" s="190"/>
      <c r="R107"/>
      <c r="S107"/>
      <c r="T107" s="116" t="str">
        <f>U107&amp;"-"&amp;V107</f>
        <v>-</v>
      </c>
      <c r="U107"/>
      <c r="V107"/>
      <c r="W107"/>
      <c r="X107"/>
      <c r="Y107"/>
      <c r="Z107" s="183"/>
      <c r="AA107" s="187"/>
      <c r="AB107" s="469"/>
      <c r="AC107" s="487"/>
      <c r="AD107" s="487"/>
      <c r="AE107" s="487"/>
      <c r="AF107" s="487"/>
      <c r="AH107" s="183"/>
      <c r="AI107" s="183"/>
      <c r="AJ107" s="183"/>
      <c r="AK107" s="153"/>
      <c r="AL107" s="145"/>
      <c r="AM107" s="145"/>
      <c r="AN107" s="145"/>
      <c r="AO107" s="145"/>
      <c r="AP107" s="145"/>
      <c r="AQ107" s="143"/>
      <c r="AR107" s="143"/>
      <c r="AS107" s="145"/>
      <c r="AT107" s="145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</row>
    <row r="108" spans="1:60" s="182" customFormat="1" ht="14.4">
      <c r="A108" s="189"/>
      <c r="C108" s="190"/>
      <c r="D108" s="190"/>
      <c r="J108" s="190"/>
      <c r="P108" s="511"/>
      <c r="Q108" s="511"/>
      <c r="R108"/>
      <c r="S108"/>
      <c r="T108"/>
      <c r="U108"/>
      <c r="V108"/>
      <c r="W108"/>
      <c r="X108"/>
      <c r="Y108"/>
      <c r="Z108" s="512"/>
      <c r="AA108" s="186"/>
      <c r="AC108" s="468"/>
      <c r="AD108" s="468"/>
      <c r="AE108" s="468"/>
      <c r="AF108" s="468"/>
      <c r="AH108" s="183"/>
      <c r="AI108" s="183"/>
      <c r="AJ108" s="183"/>
      <c r="AK108" s="153"/>
      <c r="AL108" s="145"/>
      <c r="AM108" s="145"/>
      <c r="AN108" s="145"/>
      <c r="AO108" s="145"/>
      <c r="AP108" s="145"/>
      <c r="AQ108" s="143"/>
      <c r="AR108" s="143"/>
      <c r="AS108" s="145"/>
      <c r="AT108" s="145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</row>
    <row r="109" spans="1:60" s="182" customFormat="1" ht="58.8" thickBot="1">
      <c r="A109" s="189"/>
      <c r="C109" s="190"/>
      <c r="D109" s="190"/>
      <c r="J109" s="190"/>
      <c r="P109" s="514"/>
      <c r="Q109" s="514"/>
      <c r="R109" s="515"/>
      <c r="S109" s="516" t="s">
        <v>471</v>
      </c>
      <c r="T109" s="517" t="s">
        <v>487</v>
      </c>
      <c r="U109" s="518" t="s">
        <v>197</v>
      </c>
      <c r="V109" s="518" t="s">
        <v>488</v>
      </c>
      <c r="W109" s="519" t="s">
        <v>469</v>
      </c>
      <c r="X109" s="515" t="s">
        <v>279</v>
      </c>
      <c r="Y109" s="520" t="s">
        <v>523</v>
      </c>
      <c r="Z109" s="521" t="s">
        <v>602</v>
      </c>
      <c r="AA109" s="521" t="s">
        <v>603</v>
      </c>
      <c r="AD109" s="468"/>
      <c r="AE109" s="468"/>
      <c r="AF109" s="468"/>
      <c r="AH109" s="183"/>
      <c r="AI109" s="183"/>
      <c r="AJ109" s="183"/>
      <c r="AK109" s="183"/>
      <c r="AO109" s="190"/>
      <c r="AP109" s="190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</row>
    <row r="110" spans="1:60" s="182" customFormat="1" ht="15" thickBot="1">
      <c r="A110" s="189"/>
      <c r="C110" s="190"/>
      <c r="D110" s="190"/>
      <c r="J110" s="190"/>
      <c r="P110" s="514"/>
      <c r="Q110" s="514"/>
      <c r="R110" s="514" t="s">
        <v>3</v>
      </c>
      <c r="S110" s="514"/>
      <c r="T110" s="514"/>
      <c r="U110" s="514" t="s">
        <v>293</v>
      </c>
      <c r="V110" s="522" t="s">
        <v>293</v>
      </c>
      <c r="W110" s="145" t="s">
        <v>293</v>
      </c>
      <c r="X110" s="523">
        <v>86.421207829540734</v>
      </c>
      <c r="Y110" s="514"/>
      <c r="AB110"/>
      <c r="AC110" s="468"/>
      <c r="AD110" s="558"/>
      <c r="AE110" s="558"/>
      <c r="AF110" s="558"/>
      <c r="AH110" s="332"/>
      <c r="AI110" s="332"/>
      <c r="AJ110" s="332"/>
      <c r="AK110" s="332"/>
      <c r="AL110" s="503">
        <v>0</v>
      </c>
      <c r="AP110" s="190"/>
      <c r="AQ110" s="19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</row>
    <row r="111" spans="1:60" s="182" customFormat="1" ht="15" thickBot="1">
      <c r="A111" s="189"/>
      <c r="C111" s="190"/>
      <c r="D111" s="190"/>
      <c r="J111" s="190"/>
      <c r="P111" s="514"/>
      <c r="Q111" s="514"/>
      <c r="R111" s="514" t="s">
        <v>4</v>
      </c>
      <c r="S111" s="524"/>
      <c r="T111" s="514"/>
      <c r="U111" s="514" t="s">
        <v>293</v>
      </c>
      <c r="V111" s="522" t="s">
        <v>293</v>
      </c>
      <c r="W111" s="145" t="s">
        <v>293</v>
      </c>
      <c r="X111" s="523">
        <v>27.071590837057343</v>
      </c>
      <c r="Y111" s="514"/>
      <c r="AB111"/>
      <c r="AC111" s="468"/>
      <c r="AD111" s="558"/>
      <c r="AE111" s="558"/>
      <c r="AF111" s="558"/>
      <c r="AH111" s="332"/>
      <c r="AI111" s="332"/>
      <c r="AJ111" s="332"/>
      <c r="AK111" s="332"/>
      <c r="AL111" s="505">
        <v>0</v>
      </c>
      <c r="AP111" s="190"/>
      <c r="AQ111" s="190"/>
      <c r="AU111"/>
      <c r="AV111"/>
      <c r="AW111"/>
      <c r="AX111"/>
      <c r="AY111"/>
      <c r="AZ111"/>
      <c r="BA111"/>
      <c r="BB111"/>
      <c r="BC111"/>
      <c r="BD111"/>
      <c r="BE111"/>
      <c r="BF111"/>
    </row>
    <row r="112" spans="1:60" s="182" customFormat="1" ht="15" thickBot="1">
      <c r="A112" s="189"/>
      <c r="C112" s="190"/>
      <c r="D112" s="190"/>
      <c r="J112" s="190"/>
      <c r="P112" s="514"/>
      <c r="Q112" s="514"/>
      <c r="R112" s="514" t="s">
        <v>5</v>
      </c>
      <c r="S112" s="524" t="s">
        <v>474</v>
      </c>
      <c r="T112" s="525">
        <v>8.1803005008347256</v>
      </c>
      <c r="U112" s="526" t="s">
        <v>489</v>
      </c>
      <c r="V112" s="522" t="s">
        <v>505</v>
      </c>
      <c r="W112" s="145" t="s">
        <v>566</v>
      </c>
      <c r="X112" s="523">
        <v>41.492292977862697</v>
      </c>
      <c r="Z112" s="145" t="s">
        <v>586</v>
      </c>
      <c r="AA112" s="470" t="s">
        <v>605</v>
      </c>
      <c r="AB112" s="186"/>
      <c r="AC112" s="468"/>
      <c r="AD112" s="558"/>
      <c r="AE112" s="558"/>
      <c r="AF112" s="558"/>
      <c r="AH112" s="332"/>
      <c r="AI112" s="332"/>
      <c r="AJ112" s="332"/>
      <c r="AK112" s="332"/>
      <c r="AL112" s="510">
        <v>0.6</v>
      </c>
      <c r="AP112" s="190"/>
      <c r="AQ112" s="190"/>
      <c r="AU112"/>
      <c r="AV112"/>
      <c r="AW112"/>
      <c r="AX112"/>
      <c r="AY112"/>
      <c r="AZ112"/>
      <c r="BA112"/>
      <c r="BB112"/>
      <c r="BC112"/>
      <c r="BD112"/>
      <c r="BE112"/>
      <c r="BF112"/>
    </row>
    <row r="113" spans="1:58" s="182" customFormat="1" ht="15" thickBot="1">
      <c r="A113" s="189"/>
      <c r="C113" s="190"/>
      <c r="D113" s="190"/>
      <c r="J113" s="190"/>
      <c r="P113" s="514"/>
      <c r="Q113" s="514"/>
      <c r="R113" s="514" t="s">
        <v>6</v>
      </c>
      <c r="S113" s="524" t="s">
        <v>475</v>
      </c>
      <c r="T113" s="525">
        <v>0.333889816360601</v>
      </c>
      <c r="U113" s="526" t="s">
        <v>490</v>
      </c>
      <c r="V113" s="522" t="s">
        <v>506</v>
      </c>
      <c r="W113" s="145" t="s">
        <v>567</v>
      </c>
      <c r="X113" s="523">
        <v>30.096192649706779</v>
      </c>
      <c r="Z113" s="145" t="s">
        <v>587</v>
      </c>
      <c r="AA113" s="470" t="s">
        <v>606</v>
      </c>
      <c r="AB113" s="186"/>
      <c r="AC113" s="468"/>
      <c r="AD113" s="558"/>
      <c r="AE113" s="558"/>
      <c r="AF113" s="558"/>
      <c r="AH113" s="332"/>
      <c r="AI113" s="332"/>
      <c r="AJ113" s="332"/>
      <c r="AK113" s="332"/>
      <c r="AL113" s="494">
        <v>0</v>
      </c>
      <c r="AP113" s="190"/>
      <c r="AQ113" s="190"/>
      <c r="AU113"/>
      <c r="AV113"/>
      <c r="AW113"/>
      <c r="AX113"/>
      <c r="AY113"/>
      <c r="AZ113"/>
      <c r="BA113"/>
      <c r="BB113"/>
      <c r="BC113"/>
      <c r="BD113"/>
      <c r="BE113"/>
      <c r="BF113"/>
    </row>
    <row r="114" spans="1:58" s="182" customFormat="1" ht="23.4" thickBot="1">
      <c r="A114" s="189"/>
      <c r="C114" s="190"/>
      <c r="D114" s="190"/>
      <c r="J114" s="190"/>
      <c r="P114" s="514"/>
      <c r="Q114" s="514"/>
      <c r="R114" s="514" t="s">
        <v>7</v>
      </c>
      <c r="S114" s="524" t="s">
        <v>476</v>
      </c>
      <c r="T114" s="525">
        <v>8.4307178631051745</v>
      </c>
      <c r="U114" s="526" t="s">
        <v>491</v>
      </c>
      <c r="V114" s="522" t="s">
        <v>507</v>
      </c>
      <c r="W114" s="145" t="s">
        <v>568</v>
      </c>
      <c r="X114" s="523">
        <v>21.724694134200288</v>
      </c>
      <c r="Z114" s="145" t="s">
        <v>588</v>
      </c>
      <c r="AA114" s="470" t="s">
        <v>607</v>
      </c>
      <c r="AB114" s="186"/>
      <c r="AC114" s="468"/>
      <c r="AD114" s="558"/>
      <c r="AE114" s="558"/>
      <c r="AF114" s="558"/>
      <c r="AH114" s="332"/>
      <c r="AI114" s="332"/>
      <c r="AJ114" s="332"/>
      <c r="AK114" s="332"/>
      <c r="AL114" s="494">
        <v>1.2</v>
      </c>
      <c r="AP114" s="190"/>
      <c r="AQ114" s="190"/>
      <c r="AU114"/>
      <c r="AV114"/>
      <c r="AW114"/>
      <c r="AX114"/>
      <c r="AY114"/>
      <c r="AZ114"/>
      <c r="BA114"/>
      <c r="BB114"/>
      <c r="BC114"/>
      <c r="BD114"/>
      <c r="BE114"/>
      <c r="BF114"/>
    </row>
    <row r="115" spans="1:58" s="182" customFormat="1" ht="15" thickBot="1">
      <c r="A115" s="189"/>
      <c r="C115" s="190"/>
      <c r="D115" s="190"/>
      <c r="J115" s="190"/>
      <c r="P115" s="514"/>
      <c r="Q115" s="514"/>
      <c r="R115" s="514" t="s">
        <v>8</v>
      </c>
      <c r="S115" s="524" t="s">
        <v>400</v>
      </c>
      <c r="T115" s="525">
        <v>8.347245409015025E-2</v>
      </c>
      <c r="U115" s="526" t="s">
        <v>492</v>
      </c>
      <c r="V115" s="522" t="s">
        <v>508</v>
      </c>
      <c r="W115" s="145" t="s">
        <v>569</v>
      </c>
      <c r="X115" s="523">
        <v>42.157143531107629</v>
      </c>
      <c r="Z115" s="145" t="s">
        <v>589</v>
      </c>
      <c r="AA115" s="470" t="s">
        <v>608</v>
      </c>
      <c r="AB115" s="186"/>
      <c r="AC115" s="468"/>
      <c r="AD115" s="558"/>
      <c r="AE115" s="558"/>
      <c r="AF115" s="558"/>
      <c r="AH115" s="332"/>
      <c r="AI115" s="332"/>
      <c r="AJ115" s="332"/>
      <c r="AK115" s="332"/>
      <c r="AL115" s="494">
        <v>0</v>
      </c>
      <c r="AP115" s="190"/>
      <c r="AQ115" s="190"/>
      <c r="AU115"/>
      <c r="AV115"/>
      <c r="AW115"/>
      <c r="AX115"/>
      <c r="AY115"/>
      <c r="AZ115"/>
      <c r="BA115"/>
      <c r="BB115"/>
      <c r="BC115"/>
      <c r="BD115"/>
      <c r="BE115"/>
      <c r="BF115"/>
    </row>
    <row r="116" spans="1:58" s="182" customFormat="1" ht="15" thickBot="1">
      <c r="A116" s="189"/>
      <c r="C116" s="190"/>
      <c r="D116" s="190"/>
      <c r="J116" s="190"/>
      <c r="P116" s="514"/>
      <c r="Q116" s="514"/>
      <c r="R116" s="514" t="s">
        <v>9</v>
      </c>
      <c r="S116" s="524" t="s">
        <v>477</v>
      </c>
      <c r="T116" s="525">
        <v>3.5893155258764611</v>
      </c>
      <c r="U116" s="526" t="s">
        <v>493</v>
      </c>
      <c r="V116" s="522" t="s">
        <v>509</v>
      </c>
      <c r="W116" s="145" t="s">
        <v>570</v>
      </c>
      <c r="X116" s="523">
        <v>30.349023141785832</v>
      </c>
      <c r="Z116" s="145" t="s">
        <v>590</v>
      </c>
      <c r="AA116" s="470" t="s">
        <v>609</v>
      </c>
      <c r="AB116" s="186"/>
      <c r="AC116" s="468"/>
      <c r="AD116" s="558"/>
      <c r="AE116" s="558"/>
      <c r="AF116" s="558"/>
      <c r="AH116" s="332"/>
      <c r="AI116" s="332"/>
      <c r="AJ116" s="332"/>
      <c r="AK116" s="332"/>
      <c r="AL116" s="494">
        <v>0.4</v>
      </c>
      <c r="AP116" s="190"/>
      <c r="AQ116" s="190"/>
      <c r="AU116"/>
      <c r="AV116"/>
      <c r="AW116"/>
      <c r="AX116"/>
      <c r="AY116"/>
      <c r="AZ116"/>
      <c r="BA116"/>
      <c r="BB116"/>
      <c r="BC116"/>
      <c r="BD116"/>
      <c r="BE116"/>
      <c r="BF116"/>
    </row>
    <row r="117" spans="1:58" s="182" customFormat="1" ht="23.4" customHeight="1" thickBot="1">
      <c r="A117" s="189"/>
      <c r="C117" s="190"/>
      <c r="D117" s="190"/>
      <c r="J117" s="190"/>
      <c r="P117" s="514"/>
      <c r="Q117" s="514"/>
      <c r="R117" s="514" t="s">
        <v>10</v>
      </c>
      <c r="S117" s="524" t="s">
        <v>478</v>
      </c>
      <c r="T117" s="525">
        <v>27.128547579298832</v>
      </c>
      <c r="U117" s="526" t="s">
        <v>494</v>
      </c>
      <c r="V117" s="522" t="s">
        <v>510</v>
      </c>
      <c r="W117" s="145" t="s">
        <v>571</v>
      </c>
      <c r="X117" s="523">
        <v>30.592489541565666</v>
      </c>
      <c r="Z117" s="145" t="s">
        <v>591</v>
      </c>
      <c r="AA117" s="470" t="s">
        <v>610</v>
      </c>
      <c r="AB117" s="186"/>
      <c r="AC117" s="468"/>
      <c r="AD117" s="558"/>
      <c r="AE117" s="558"/>
      <c r="AF117" s="558"/>
      <c r="AH117" s="332"/>
      <c r="AI117" s="332"/>
      <c r="AJ117" s="332"/>
      <c r="AK117" s="332"/>
      <c r="AL117" s="494">
        <v>2.6</v>
      </c>
      <c r="AP117" s="190"/>
      <c r="AQ117" s="190"/>
      <c r="AU117"/>
      <c r="AV117"/>
      <c r="AW117"/>
      <c r="AX117"/>
      <c r="AY117"/>
      <c r="AZ117"/>
      <c r="BA117"/>
      <c r="BB117"/>
      <c r="BC117"/>
      <c r="BD117"/>
      <c r="BE117"/>
      <c r="BF117"/>
    </row>
    <row r="118" spans="1:58" s="182" customFormat="1" ht="15" thickBot="1">
      <c r="A118" s="189"/>
      <c r="C118" s="190"/>
      <c r="D118" s="190"/>
      <c r="J118" s="190"/>
      <c r="P118" s="514"/>
      <c r="Q118" s="514"/>
      <c r="R118" s="514" t="s">
        <v>11</v>
      </c>
      <c r="S118" s="524" t="s">
        <v>479</v>
      </c>
      <c r="T118" s="525">
        <v>1.8363939899833055</v>
      </c>
      <c r="U118" s="526" t="s">
        <v>495</v>
      </c>
      <c r="V118" s="522" t="s">
        <v>511</v>
      </c>
      <c r="W118" s="145" t="s">
        <v>572</v>
      </c>
      <c r="X118" s="523">
        <v>30.349023141785832</v>
      </c>
      <c r="Z118" s="145" t="s">
        <v>592</v>
      </c>
      <c r="AA118" s="470" t="s">
        <v>611</v>
      </c>
      <c r="AB118" s="186"/>
      <c r="AC118" s="468"/>
      <c r="AD118" s="558"/>
      <c r="AE118" s="558"/>
      <c r="AF118" s="558"/>
      <c r="AH118" s="332"/>
      <c r="AI118" s="332"/>
      <c r="AJ118" s="332"/>
      <c r="AK118" s="332"/>
      <c r="AL118" s="494">
        <v>0.2</v>
      </c>
      <c r="AP118" s="190"/>
      <c r="AQ118" s="190"/>
      <c r="AU118"/>
      <c r="AV118"/>
      <c r="AW118"/>
      <c r="AX118"/>
      <c r="AY118"/>
      <c r="AZ118"/>
      <c r="BA118"/>
      <c r="BB118"/>
      <c r="BC118"/>
      <c r="BD118"/>
      <c r="BE118"/>
      <c r="BF118"/>
    </row>
    <row r="119" spans="1:58" s="182" customFormat="1" ht="15" thickBot="1">
      <c r="A119" s="189"/>
      <c r="C119" s="190"/>
      <c r="D119" s="190"/>
      <c r="J119" s="190"/>
      <c r="P119" s="514"/>
      <c r="Q119" s="514"/>
      <c r="R119" s="514" t="s">
        <v>13</v>
      </c>
      <c r="S119" s="524" t="s">
        <v>399</v>
      </c>
      <c r="T119" s="525">
        <v>0.25041736227045075</v>
      </c>
      <c r="U119" s="526" t="s">
        <v>496</v>
      </c>
      <c r="V119" s="522" t="s">
        <v>512</v>
      </c>
      <c r="W119" s="145" t="s">
        <v>573</v>
      </c>
      <c r="X119" s="523">
        <v>96.96517575846724</v>
      </c>
      <c r="Z119" s="145" t="s">
        <v>593</v>
      </c>
      <c r="AA119" s="470" t="s">
        <v>612</v>
      </c>
      <c r="AB119" s="186"/>
      <c r="AC119" s="468"/>
      <c r="AD119" s="558"/>
      <c r="AE119" s="558"/>
      <c r="AF119" s="558"/>
      <c r="AH119" s="332"/>
      <c r="AI119" s="332"/>
      <c r="AJ119" s="332"/>
      <c r="AK119" s="332"/>
      <c r="AL119" s="494">
        <v>0</v>
      </c>
      <c r="AP119" s="190"/>
      <c r="AQ119" s="190"/>
      <c r="AU119"/>
      <c r="AV119"/>
      <c r="AW119"/>
      <c r="AX119"/>
      <c r="AY119"/>
      <c r="AZ119"/>
      <c r="BA119"/>
      <c r="BB119"/>
      <c r="BC119"/>
      <c r="BD119"/>
      <c r="BE119"/>
      <c r="BF119"/>
    </row>
    <row r="120" spans="1:58" s="182" customFormat="1" ht="15" thickBot="1">
      <c r="A120" s="189"/>
      <c r="C120" s="190"/>
      <c r="D120" s="190"/>
      <c r="J120" s="190"/>
      <c r="P120" s="514"/>
      <c r="Q120" s="514"/>
      <c r="R120" s="514" t="s">
        <v>14</v>
      </c>
      <c r="S120" s="524" t="s">
        <v>480</v>
      </c>
      <c r="T120" s="525">
        <v>1.001669449081803</v>
      </c>
      <c r="U120" s="526" t="s">
        <v>497</v>
      </c>
      <c r="V120" s="522" t="s">
        <v>513</v>
      </c>
      <c r="W120" s="145" t="s">
        <v>574</v>
      </c>
      <c r="X120" s="523">
        <v>31.079422341125323</v>
      </c>
      <c r="Z120" s="145" t="s">
        <v>594</v>
      </c>
      <c r="AA120" s="470" t="s">
        <v>613</v>
      </c>
      <c r="AB120" s="186"/>
      <c r="AC120" s="468"/>
      <c r="AD120" s="558"/>
      <c r="AE120" s="558"/>
      <c r="AF120" s="558"/>
      <c r="AH120" s="332"/>
      <c r="AI120" s="332"/>
      <c r="AJ120" s="332"/>
      <c r="AK120" s="332"/>
      <c r="AL120" s="494">
        <v>0.1</v>
      </c>
      <c r="AP120" s="190"/>
      <c r="AQ120" s="190"/>
      <c r="AU120"/>
      <c r="AV120"/>
      <c r="AW120"/>
      <c r="AX120"/>
      <c r="AY120"/>
      <c r="AZ120"/>
      <c r="BA120"/>
      <c r="BB120"/>
      <c r="BC120"/>
      <c r="BD120"/>
      <c r="BE120"/>
      <c r="BF120"/>
    </row>
    <row r="121" spans="1:58" s="182" customFormat="1" ht="23.4" customHeight="1" thickBot="1">
      <c r="A121" s="189"/>
      <c r="C121" s="190"/>
      <c r="D121" s="190"/>
      <c r="J121" s="190"/>
      <c r="P121" s="514"/>
      <c r="Q121" s="514"/>
      <c r="R121" s="514" t="s">
        <v>15</v>
      </c>
      <c r="S121" s="524" t="s">
        <v>481</v>
      </c>
      <c r="T121" s="525">
        <v>15.108514190317196</v>
      </c>
      <c r="U121" s="526" t="s">
        <v>498</v>
      </c>
      <c r="V121" s="522" t="s">
        <v>514</v>
      </c>
      <c r="W121" s="145" t="s">
        <v>575</v>
      </c>
      <c r="X121" s="523">
        <v>31.079422341125323</v>
      </c>
      <c r="Z121" s="145" t="s">
        <v>595</v>
      </c>
      <c r="AA121" s="470" t="s">
        <v>614</v>
      </c>
      <c r="AB121" s="186"/>
      <c r="AC121" s="468"/>
      <c r="AD121" s="558"/>
      <c r="AE121" s="558"/>
      <c r="AF121" s="558"/>
      <c r="AH121" s="332"/>
      <c r="AI121" s="332"/>
      <c r="AJ121" s="332"/>
      <c r="AK121" s="332"/>
      <c r="AL121" s="494">
        <v>1.5</v>
      </c>
      <c r="AP121" s="190"/>
      <c r="AQ121" s="190"/>
      <c r="AU121"/>
      <c r="AV121"/>
      <c r="AW121"/>
      <c r="AX121"/>
      <c r="AY121"/>
      <c r="AZ121"/>
      <c r="BA121"/>
      <c r="BB121"/>
      <c r="BC121"/>
      <c r="BD121"/>
      <c r="BE121"/>
      <c r="BF121"/>
    </row>
    <row r="122" spans="1:58" s="182" customFormat="1" ht="23.4" thickBot="1">
      <c r="A122" s="189"/>
      <c r="C122" s="190"/>
      <c r="D122" s="190"/>
      <c r="J122" s="190"/>
      <c r="P122" s="514"/>
      <c r="Q122" s="514"/>
      <c r="R122" s="514" t="s">
        <v>16</v>
      </c>
      <c r="S122" s="524" t="s">
        <v>49</v>
      </c>
      <c r="T122" s="525"/>
      <c r="U122" s="526" t="s">
        <v>499</v>
      </c>
      <c r="V122" s="522" t="s">
        <v>515</v>
      </c>
      <c r="W122" s="145" t="s">
        <v>522</v>
      </c>
      <c r="X122" s="523">
        <v>18.568995029361712</v>
      </c>
      <c r="Z122" s="145" t="s">
        <v>596</v>
      </c>
      <c r="AA122" s="470" t="s">
        <v>596</v>
      </c>
      <c r="AB122" s="186"/>
      <c r="AC122" s="468"/>
      <c r="AD122" s="558"/>
      <c r="AE122" s="558"/>
      <c r="AF122" s="558"/>
      <c r="AH122" s="332"/>
      <c r="AI122" s="332"/>
      <c r="AJ122" s="332"/>
      <c r="AK122" s="332"/>
      <c r="AL122" s="494" t="s">
        <v>524</v>
      </c>
      <c r="AP122" s="190"/>
      <c r="AQ122" s="190"/>
      <c r="AU122"/>
      <c r="AV122"/>
      <c r="AW122"/>
      <c r="AX122"/>
      <c r="AY122"/>
      <c r="AZ122"/>
      <c r="BA122"/>
      <c r="BB122"/>
      <c r="BC122"/>
      <c r="BD122"/>
      <c r="BE122"/>
      <c r="BF122"/>
    </row>
    <row r="123" spans="1:58" s="182" customFormat="1" ht="15" thickBot="1">
      <c r="A123" s="189"/>
      <c r="C123" s="190"/>
      <c r="D123" s="190"/>
      <c r="J123" s="190"/>
      <c r="P123" s="514"/>
      <c r="Q123" s="514"/>
      <c r="R123" s="514" t="s">
        <v>17</v>
      </c>
      <c r="S123" s="524" t="s">
        <v>482</v>
      </c>
      <c r="T123" s="525">
        <v>3.0884808013355594</v>
      </c>
      <c r="U123" s="526" t="s">
        <v>500</v>
      </c>
      <c r="V123" s="522" t="s">
        <v>516</v>
      </c>
      <c r="W123" s="145" t="s">
        <v>576</v>
      </c>
      <c r="X123" s="523">
        <v>16.452710169737028</v>
      </c>
      <c r="Z123" s="145" t="s">
        <v>597</v>
      </c>
      <c r="AA123" s="470" t="s">
        <v>615</v>
      </c>
      <c r="AB123" s="186"/>
      <c r="AC123" s="468"/>
      <c r="AD123" s="558"/>
      <c r="AE123" s="558"/>
      <c r="AF123" s="558"/>
      <c r="AH123" s="332"/>
      <c r="AI123" s="332"/>
      <c r="AJ123" s="332"/>
      <c r="AK123" s="332"/>
      <c r="AL123" s="494">
        <v>0.6</v>
      </c>
      <c r="AP123" s="190"/>
      <c r="AQ123" s="190"/>
      <c r="AU123"/>
      <c r="AV123"/>
      <c r="AW123"/>
      <c r="AX123"/>
      <c r="AY123"/>
      <c r="AZ123"/>
      <c r="BA123"/>
      <c r="BB123"/>
      <c r="BC123"/>
      <c r="BD123"/>
      <c r="BE123"/>
      <c r="BF123"/>
    </row>
    <row r="124" spans="1:58" s="182" customFormat="1" ht="15" thickBot="1">
      <c r="A124" s="189"/>
      <c r="C124" s="190"/>
      <c r="D124" s="190"/>
      <c r="J124" s="190"/>
      <c r="P124" s="514"/>
      <c r="Q124" s="514"/>
      <c r="R124" s="514" t="s">
        <v>18</v>
      </c>
      <c r="S124" s="524" t="s">
        <v>475</v>
      </c>
      <c r="T124" s="525">
        <v>0.333889816360601</v>
      </c>
      <c r="U124" s="526" t="s">
        <v>490</v>
      </c>
      <c r="V124" s="522" t="s">
        <v>506</v>
      </c>
      <c r="W124" s="145" t="s">
        <v>567</v>
      </c>
      <c r="X124" s="523">
        <v>20.310716197017424</v>
      </c>
      <c r="Z124" s="145" t="s">
        <v>587</v>
      </c>
      <c r="AA124" s="470" t="s">
        <v>606</v>
      </c>
      <c r="AB124" s="186"/>
      <c r="AD124" s="507"/>
      <c r="AE124" s="507"/>
      <c r="AF124" s="507"/>
      <c r="AH124" s="508"/>
      <c r="AI124" s="508"/>
      <c r="AJ124" s="508"/>
      <c r="AK124" s="508"/>
      <c r="AL124" s="494">
        <v>0</v>
      </c>
      <c r="AP124" s="190"/>
      <c r="AQ124" s="190"/>
      <c r="AU124"/>
      <c r="AV124"/>
      <c r="AW124"/>
      <c r="AX124"/>
      <c r="AY124"/>
      <c r="AZ124"/>
      <c r="BA124"/>
      <c r="BB124"/>
      <c r="BC124"/>
      <c r="BD124"/>
      <c r="BE124"/>
      <c r="BF124"/>
    </row>
    <row r="125" spans="1:58" s="182" customFormat="1" ht="15" thickBot="1">
      <c r="A125" s="189"/>
      <c r="C125" s="190"/>
      <c r="D125" s="190"/>
      <c r="J125" s="190"/>
      <c r="P125" s="514"/>
      <c r="Q125" s="514"/>
      <c r="R125" s="514" t="s">
        <v>19</v>
      </c>
      <c r="S125" s="524" t="s">
        <v>400</v>
      </c>
      <c r="T125" s="525">
        <v>8.347245409015025E-2</v>
      </c>
      <c r="U125" s="526" t="s">
        <v>492</v>
      </c>
      <c r="V125" s="522" t="s">
        <v>508</v>
      </c>
      <c r="W125" s="145" t="s">
        <v>569</v>
      </c>
      <c r="X125" s="523">
        <v>25.769982007465167</v>
      </c>
      <c r="Z125" s="145" t="s">
        <v>589</v>
      </c>
      <c r="AA125" s="470" t="s">
        <v>608</v>
      </c>
      <c r="AB125" s="186"/>
      <c r="AC125" s="469"/>
      <c r="AD125" s="559"/>
      <c r="AE125" s="559"/>
      <c r="AF125" s="559"/>
      <c r="AH125" s="568"/>
      <c r="AI125" s="568"/>
      <c r="AJ125" s="568"/>
      <c r="AK125" s="568"/>
      <c r="AL125" s="494">
        <v>0</v>
      </c>
      <c r="AP125" s="190"/>
      <c r="AQ125" s="190"/>
      <c r="AU125"/>
      <c r="AV125"/>
      <c r="AW125"/>
      <c r="AX125"/>
      <c r="AY125"/>
      <c r="AZ125"/>
      <c r="BA125"/>
      <c r="BB125"/>
      <c r="BC125"/>
      <c r="BD125"/>
      <c r="BE125"/>
      <c r="BF125"/>
    </row>
    <row r="126" spans="1:58" s="182" customFormat="1" ht="15" thickBot="1">
      <c r="A126" s="189"/>
      <c r="C126" s="190"/>
      <c r="D126" s="190"/>
      <c r="J126" s="190"/>
      <c r="P126" s="514"/>
      <c r="Q126" s="514"/>
      <c r="R126" s="514" t="s">
        <v>20</v>
      </c>
      <c r="S126" s="524" t="s">
        <v>400</v>
      </c>
      <c r="T126" s="525">
        <v>8.347245409015025E-2</v>
      </c>
      <c r="U126" s="526" t="s">
        <v>492</v>
      </c>
      <c r="V126" s="522" t="s">
        <v>508</v>
      </c>
      <c r="W126" s="145" t="s">
        <v>569</v>
      </c>
      <c r="X126" s="523">
        <v>20.881925827270106</v>
      </c>
      <c r="Z126" s="145" t="s">
        <v>589</v>
      </c>
      <c r="AA126" s="470" t="s">
        <v>608</v>
      </c>
      <c r="AB126" s="186"/>
      <c r="AC126" s="469"/>
      <c r="AD126" s="559"/>
      <c r="AE126" s="559"/>
      <c r="AF126" s="559"/>
      <c r="AH126" s="569"/>
      <c r="AI126" s="569"/>
      <c r="AJ126" s="569"/>
      <c r="AK126" s="569"/>
      <c r="AL126" s="494">
        <v>0</v>
      </c>
      <c r="AP126" s="190"/>
      <c r="AQ126" s="190"/>
      <c r="AU126"/>
      <c r="AV126"/>
      <c r="AW126"/>
      <c r="AX126"/>
      <c r="AY126"/>
      <c r="AZ126"/>
      <c r="BA126"/>
      <c r="BB126"/>
      <c r="BC126"/>
      <c r="BD126"/>
      <c r="BE126"/>
      <c r="BF126"/>
    </row>
    <row r="127" spans="1:58" ht="15" thickBot="1">
      <c r="P127" s="514"/>
      <c r="Q127" s="514"/>
      <c r="R127" s="514" t="s">
        <v>41</v>
      </c>
      <c r="S127" s="524" t="s">
        <v>483</v>
      </c>
      <c r="T127" s="525">
        <v>2.003338898163606</v>
      </c>
      <c r="U127" s="526" t="s">
        <v>501</v>
      </c>
      <c r="V127" s="522" t="s">
        <v>517</v>
      </c>
      <c r="W127" s="153" t="s">
        <v>577</v>
      </c>
      <c r="X127" s="523">
        <v>28.345107389751842</v>
      </c>
      <c r="Z127" s="145" t="s">
        <v>598</v>
      </c>
      <c r="AA127" s="470" t="s">
        <v>616</v>
      </c>
      <c r="AB127" s="186"/>
      <c r="AC127" s="182"/>
      <c r="AD127" s="507"/>
      <c r="AE127" s="507"/>
      <c r="AF127" s="507"/>
      <c r="AG127" s="468"/>
      <c r="AH127" s="558"/>
      <c r="AI127" s="558"/>
      <c r="AJ127" s="558"/>
      <c r="AK127" s="558"/>
      <c r="AL127" s="494">
        <v>0.2</v>
      </c>
      <c r="AO127" s="145"/>
      <c r="AQ127" s="143"/>
      <c r="AU127"/>
      <c r="AV127"/>
      <c r="AW127"/>
      <c r="AX127"/>
      <c r="AY127"/>
      <c r="AZ127"/>
      <c r="BA127"/>
      <c r="BB127"/>
      <c r="BC127"/>
      <c r="BD127"/>
      <c r="BE127"/>
      <c r="BF127"/>
    </row>
    <row r="128" spans="1:58" ht="15" thickBot="1">
      <c r="P128" s="514"/>
      <c r="Q128" s="514"/>
      <c r="R128" s="514" t="s">
        <v>21</v>
      </c>
      <c r="S128" s="524" t="s">
        <v>484</v>
      </c>
      <c r="T128" s="525">
        <v>0.75125208681135225</v>
      </c>
      <c r="U128" s="526" t="s">
        <v>502</v>
      </c>
      <c r="V128" s="522" t="s">
        <v>518</v>
      </c>
      <c r="W128" s="153" t="s">
        <v>578</v>
      </c>
      <c r="X128" s="523">
        <v>64.855703264427248</v>
      </c>
      <c r="Z128" s="145" t="s">
        <v>599</v>
      </c>
      <c r="AA128" s="470" t="s">
        <v>617</v>
      </c>
      <c r="AB128" s="186"/>
      <c r="AC128" s="182"/>
      <c r="AD128" s="507"/>
      <c r="AE128" s="507"/>
      <c r="AF128" s="507"/>
      <c r="AG128" s="468"/>
      <c r="AH128" s="558"/>
      <c r="AI128" s="558"/>
      <c r="AJ128" s="558"/>
      <c r="AK128" s="558"/>
      <c r="AL128" s="494">
        <v>0</v>
      </c>
      <c r="AO128" s="145"/>
      <c r="AQ128" s="143"/>
      <c r="AU128"/>
      <c r="AV128"/>
      <c r="AW128"/>
      <c r="AX128"/>
      <c r="AY128"/>
      <c r="AZ128"/>
      <c r="BA128"/>
      <c r="BB128"/>
      <c r="BC128"/>
      <c r="BD128"/>
      <c r="BE128"/>
      <c r="BF128"/>
    </row>
    <row r="129" spans="1:58" ht="23.4" thickBot="1">
      <c r="P129" s="514"/>
      <c r="Q129" s="514"/>
      <c r="R129" s="514" t="s">
        <v>251</v>
      </c>
      <c r="S129" s="524" t="s">
        <v>485</v>
      </c>
      <c r="T129" s="527">
        <v>27.712854757929883</v>
      </c>
      <c r="U129" s="526" t="s">
        <v>503</v>
      </c>
      <c r="V129" s="522" t="s">
        <v>519</v>
      </c>
      <c r="W129" s="153" t="s">
        <v>579</v>
      </c>
      <c r="X129" s="523">
        <v>24.983398254330332</v>
      </c>
      <c r="Z129" s="153" t="s">
        <v>600</v>
      </c>
      <c r="AA129" s="470" t="s">
        <v>618</v>
      </c>
      <c r="AB129" s="186"/>
      <c r="AC129" s="469"/>
      <c r="AD129" s="559"/>
      <c r="AE129" s="559"/>
      <c r="AF129" s="559"/>
      <c r="AG129" s="468"/>
      <c r="AH129" s="558"/>
      <c r="AI129" s="558"/>
      <c r="AJ129" s="558"/>
      <c r="AK129" s="558"/>
      <c r="AL129" s="494">
        <v>3.3</v>
      </c>
      <c r="AO129" s="145"/>
      <c r="AQ129" s="143"/>
      <c r="AU129"/>
      <c r="AV129"/>
      <c r="AW129"/>
      <c r="AX129"/>
      <c r="AY129"/>
      <c r="AZ129"/>
      <c r="BA129"/>
      <c r="BB129"/>
      <c r="BC129"/>
      <c r="BD129"/>
      <c r="BE129"/>
      <c r="BF129"/>
    </row>
    <row r="130" spans="1:58" s="482" customFormat="1" ht="15" thickBot="1">
      <c r="A130" s="481"/>
      <c r="C130" s="337"/>
      <c r="D130" s="337"/>
      <c r="J130" s="337"/>
      <c r="P130" s="514"/>
      <c r="Q130" s="514"/>
      <c r="R130" s="523"/>
      <c r="S130" s="524" t="s">
        <v>486</v>
      </c>
      <c r="T130" s="523">
        <v>100</v>
      </c>
      <c r="U130" s="528" t="s">
        <v>504</v>
      </c>
      <c r="V130" s="522" t="s">
        <v>520</v>
      </c>
      <c r="W130" s="470" t="s">
        <v>580</v>
      </c>
      <c r="X130" s="523">
        <v>719.54621636469165</v>
      </c>
      <c r="Z130" s="153" t="s">
        <v>601</v>
      </c>
      <c r="AA130" s="470" t="s">
        <v>619</v>
      </c>
      <c r="AB130" s="495"/>
      <c r="AC130" s="182"/>
      <c r="AD130" s="507"/>
      <c r="AE130" s="507"/>
      <c r="AF130" s="507"/>
      <c r="AG130" s="468"/>
      <c r="AH130" s="558"/>
      <c r="AI130" s="558"/>
      <c r="AJ130" s="558"/>
      <c r="AK130" s="558"/>
      <c r="AL130" s="494">
        <v>10.7</v>
      </c>
      <c r="AP130" s="337"/>
      <c r="AQ130" s="337"/>
      <c r="AU130"/>
      <c r="AV130"/>
      <c r="AW130"/>
      <c r="AX130"/>
      <c r="AY130"/>
      <c r="AZ130"/>
      <c r="BA130"/>
      <c r="BB130"/>
      <c r="BC130"/>
      <c r="BD130"/>
      <c r="BE130"/>
      <c r="BF130"/>
    </row>
    <row r="131" spans="1:58" s="482" customFormat="1" ht="14.4">
      <c r="A131" s="481"/>
      <c r="C131" s="337"/>
      <c r="D131" s="337"/>
      <c r="J131" s="337"/>
      <c r="P131" s="573"/>
      <c r="Q131" s="573"/>
      <c r="R131" s="574"/>
      <c r="S131" s="575"/>
      <c r="T131" s="574"/>
      <c r="U131" s="576"/>
      <c r="V131" s="577"/>
      <c r="W131" s="578"/>
      <c r="X131" s="574"/>
      <c r="Y131" s="579" t="s">
        <v>473</v>
      </c>
      <c r="Z131" s="470" t="s">
        <v>604</v>
      </c>
      <c r="AA131" s="580" t="s">
        <v>620</v>
      </c>
      <c r="AB131" s="564"/>
      <c r="AC131" s="182"/>
      <c r="AD131" s="507"/>
      <c r="AE131" s="507"/>
      <c r="AF131" s="507"/>
      <c r="AG131" s="468"/>
      <c r="AH131" s="558"/>
      <c r="AI131" s="558"/>
      <c r="AJ131" s="558"/>
      <c r="AK131" s="558"/>
      <c r="AL131" s="561"/>
      <c r="AP131" s="337"/>
      <c r="AQ131" s="337"/>
      <c r="AU131"/>
      <c r="AV131"/>
      <c r="AW131"/>
      <c r="AX131"/>
      <c r="AY131"/>
      <c r="AZ131"/>
      <c r="BA131"/>
      <c r="BB131"/>
      <c r="BC131"/>
      <c r="BD131"/>
      <c r="BE131"/>
      <c r="BF131"/>
    </row>
    <row r="132" spans="1:58" ht="58.2" thickBot="1">
      <c r="P132" s="513"/>
      <c r="Q132" s="513"/>
      <c r="R132"/>
      <c r="S132"/>
      <c r="T132" s="1">
        <v>100</v>
      </c>
      <c r="U132" s="1" t="s">
        <v>192</v>
      </c>
      <c r="V132" s="1" t="s">
        <v>256</v>
      </c>
      <c r="W132" s="1" t="s">
        <v>257</v>
      </c>
      <c r="X132" s="1" t="s">
        <v>258</v>
      </c>
      <c r="Y132" s="1" t="s">
        <v>464</v>
      </c>
      <c r="Z132" s="1" t="s">
        <v>432</v>
      </c>
      <c r="AA132" s="1" t="s">
        <v>431</v>
      </c>
      <c r="AB132" s="1" t="s">
        <v>581</v>
      </c>
      <c r="AC132" s="187"/>
      <c r="AD132" s="187"/>
      <c r="AE132" s="187"/>
      <c r="AF132" s="187"/>
      <c r="AG132" s="567" t="s">
        <v>558</v>
      </c>
      <c r="AH132" s="567"/>
      <c r="AI132" s="567"/>
      <c r="AJ132" s="567"/>
      <c r="AK132" s="567"/>
      <c r="AU132"/>
      <c r="AV132"/>
      <c r="AW132"/>
      <c r="AX132"/>
      <c r="AY132"/>
      <c r="AZ132"/>
      <c r="BA132"/>
      <c r="BB132"/>
      <c r="BC132"/>
      <c r="BD132"/>
      <c r="BE132"/>
      <c r="BF132"/>
    </row>
    <row r="133" spans="1:58" ht="15" thickBot="1">
      <c r="R133"/>
      <c r="S133"/>
      <c r="T133" s="1" t="s">
        <v>190</v>
      </c>
      <c r="U133" s="127">
        <v>22.5</v>
      </c>
      <c r="V133" s="127">
        <v>45</v>
      </c>
      <c r="W133" s="127">
        <v>1590.43128087983</v>
      </c>
      <c r="X133" s="444">
        <f>W133/10000</f>
        <v>0.15904312808798299</v>
      </c>
      <c r="Y133" s="231">
        <f>T137/X133</f>
        <v>1236702.2855032834</v>
      </c>
      <c r="Z133" s="231">
        <f>Y133*T138</f>
        <v>9376924.0691429954</v>
      </c>
      <c r="AA133" s="432">
        <f>Z133*0.65</f>
        <v>6095000.6449429477</v>
      </c>
      <c r="AB133" s="433">
        <f>Z133*92%*0.35</f>
        <v>3019369.5502640442</v>
      </c>
      <c r="AC133" s="502"/>
      <c r="AD133" s="560"/>
      <c r="AE133" s="560"/>
      <c r="AF133" s="560"/>
      <c r="AG133" s="468"/>
      <c r="AH133" s="468"/>
      <c r="AI133" s="468"/>
      <c r="AJ133" s="468"/>
      <c r="AK133" s="468"/>
      <c r="AL133" s="477"/>
      <c r="AM133" s="476"/>
      <c r="AU133"/>
      <c r="AV133"/>
      <c r="AW133"/>
      <c r="AX133"/>
      <c r="AY133"/>
      <c r="AZ133"/>
      <c r="BA133"/>
      <c r="BB133"/>
      <c r="BC133"/>
      <c r="BD133"/>
      <c r="BE133"/>
      <c r="BF133"/>
    </row>
    <row r="134" spans="1:58" ht="15" thickBot="1">
      <c r="R134"/>
      <c r="S134"/>
      <c r="T134" s="1" t="s">
        <v>191</v>
      </c>
      <c r="U134" s="127">
        <v>20</v>
      </c>
      <c r="V134" s="127">
        <v>40</v>
      </c>
      <c r="W134" s="127">
        <v>1256.63706143591</v>
      </c>
      <c r="X134" s="444">
        <f>W134/10000</f>
        <v>0.12566370614359101</v>
      </c>
      <c r="Y134" s="231">
        <f>T137/X134</f>
        <v>1565201.330090099</v>
      </c>
      <c r="Z134" s="231">
        <f>Y134*T138</f>
        <v>11867669.52500915</v>
      </c>
      <c r="AA134" s="432">
        <f>Z134*0.65</f>
        <v>7713985.1912559476</v>
      </c>
      <c r="AB134" s="433">
        <f>Z134*0.35*92%</f>
        <v>3821389.587052946</v>
      </c>
      <c r="AC134" s="504"/>
      <c r="AD134" s="560"/>
      <c r="AE134" s="560"/>
      <c r="AF134" s="560"/>
      <c r="AG134" s="468"/>
      <c r="AH134" s="468"/>
      <c r="AI134" s="468"/>
      <c r="AJ134" s="468"/>
      <c r="AK134" s="468"/>
      <c r="AL134" s="477"/>
      <c r="AU134"/>
      <c r="AV134"/>
      <c r="AW134"/>
      <c r="AX134"/>
      <c r="AY134"/>
      <c r="AZ134"/>
      <c r="BA134"/>
      <c r="BB134"/>
      <c r="BC134"/>
      <c r="BD134"/>
      <c r="BE134"/>
      <c r="BF134"/>
    </row>
    <row r="135" spans="1:58" ht="15" thickBot="1">
      <c r="R135"/>
      <c r="S135"/>
      <c r="T135"/>
      <c r="U135"/>
      <c r="V135"/>
      <c r="W135"/>
      <c r="X135"/>
      <c r="Y135"/>
      <c r="Z135"/>
      <c r="AA135"/>
      <c r="AB135"/>
      <c r="AC135" s="509"/>
      <c r="AD135" s="561"/>
      <c r="AE135" s="561"/>
      <c r="AF135" s="561"/>
      <c r="AG135" s="558"/>
      <c r="AH135" s="558"/>
      <c r="AI135" s="558"/>
      <c r="AJ135" s="558"/>
      <c r="AK135" s="558"/>
      <c r="AU135"/>
      <c r="AV135"/>
      <c r="AW135"/>
      <c r="AX135"/>
      <c r="AY135"/>
      <c r="AZ135"/>
      <c r="BA135"/>
      <c r="BB135"/>
      <c r="BC135"/>
      <c r="BD135"/>
      <c r="BE135"/>
      <c r="BF135"/>
    </row>
    <row r="136" spans="1:58" ht="15" thickBot="1">
      <c r="R136"/>
      <c r="S136"/>
      <c r="T136"/>
      <c r="U136"/>
      <c r="V136"/>
      <c r="W136" s="317"/>
      <c r="X136"/>
      <c r="Y136" t="s">
        <v>463</v>
      </c>
      <c r="Z136" t="s">
        <v>468</v>
      </c>
      <c r="AA136"/>
      <c r="AB136"/>
      <c r="AC136" s="493"/>
      <c r="AD136" s="561"/>
      <c r="AE136" s="561"/>
      <c r="AF136" s="561"/>
      <c r="AG136" s="558"/>
      <c r="AH136" s="558"/>
      <c r="AI136" s="558"/>
      <c r="AJ136" s="558"/>
      <c r="AK136" s="558"/>
      <c r="AU136"/>
      <c r="AV136"/>
      <c r="AW136"/>
      <c r="AX136"/>
      <c r="AY136"/>
      <c r="AZ136"/>
      <c r="BA136"/>
      <c r="BB136"/>
      <c r="BC136"/>
      <c r="BD136"/>
      <c r="BE136"/>
      <c r="BF136"/>
    </row>
    <row r="137" spans="1:58" ht="15" thickBot="1">
      <c r="R137"/>
      <c r="S137" s="155" t="s">
        <v>260</v>
      </c>
      <c r="T137">
        <v>196689</v>
      </c>
      <c r="U137"/>
      <c r="V137" t="s">
        <v>465</v>
      </c>
      <c r="W137" s="312">
        <f>Y133*1198</f>
        <v>1481569338.0329335</v>
      </c>
      <c r="X137" s="556">
        <f>T138/X133</f>
        <v>47.673861116498614</v>
      </c>
      <c r="Y137" s="33" t="s">
        <v>346</v>
      </c>
      <c r="Z137" s="429">
        <f>X137*T137</f>
        <v>9376924.0691429954</v>
      </c>
      <c r="AA137" t="s">
        <v>310</v>
      </c>
      <c r="AB137" s="427"/>
      <c r="AC137" s="493"/>
      <c r="AD137" s="561"/>
      <c r="AE137" s="561"/>
      <c r="AF137" s="561"/>
      <c r="AG137" s="558"/>
      <c r="AH137" s="558"/>
      <c r="AI137" s="558"/>
      <c r="AJ137" s="558"/>
      <c r="AK137" s="558"/>
      <c r="AL137" s="477"/>
      <c r="AU137"/>
      <c r="AV137"/>
      <c r="AW137"/>
      <c r="AX137"/>
      <c r="AY137"/>
      <c r="AZ137"/>
      <c r="BA137"/>
      <c r="BB137"/>
      <c r="BC137"/>
      <c r="BD137"/>
      <c r="BE137"/>
      <c r="BF137"/>
    </row>
    <row r="138" spans="1:58" ht="15" thickBot="1">
      <c r="R138"/>
      <c r="S138" s="155" t="s">
        <v>259</v>
      </c>
      <c r="T138">
        <v>7.5822000000000003</v>
      </c>
      <c r="U138"/>
      <c r="V138" t="s">
        <v>465</v>
      </c>
      <c r="W138" s="312">
        <f>Z133*158</f>
        <v>1481554002.9245932</v>
      </c>
      <c r="X138" s="556">
        <f>T138/X134</f>
        <v>60.337230475568788</v>
      </c>
      <c r="Y138" s="33" t="s">
        <v>309</v>
      </c>
      <c r="Z138" s="429">
        <f>X138*T137</f>
        <v>11867669.52500915</v>
      </c>
      <c r="AA138" t="s">
        <v>310</v>
      </c>
      <c r="AB138" s="427"/>
      <c r="AC138" s="493"/>
      <c r="AD138" s="561"/>
      <c r="AE138" s="561"/>
      <c r="AF138" s="561"/>
      <c r="AG138" s="558"/>
      <c r="AH138" s="558"/>
      <c r="AI138" s="558"/>
      <c r="AJ138" s="558"/>
      <c r="AK138" s="558"/>
      <c r="AU138"/>
      <c r="AV138"/>
      <c r="AW138"/>
      <c r="AX138"/>
      <c r="AY138"/>
      <c r="AZ138"/>
      <c r="BA138"/>
      <c r="BB138"/>
      <c r="BC138"/>
      <c r="BD138"/>
      <c r="BE138"/>
      <c r="BF138"/>
    </row>
    <row r="139" spans="1:58" ht="15" thickBot="1">
      <c r="R139"/>
      <c r="S139" t="s">
        <v>555</v>
      </c>
      <c r="T139"/>
      <c r="U139">
        <f>10000/W133</f>
        <v>6.2876026900501971</v>
      </c>
      <c r="V139">
        <f>10000/W134</f>
        <v>7.9577471545948129</v>
      </c>
      <c r="W139"/>
      <c r="X139" s="556"/>
      <c r="Y139" s="33"/>
      <c r="Z139"/>
      <c r="AA139"/>
      <c r="AB139"/>
      <c r="AC139" s="493"/>
      <c r="AD139" s="561"/>
      <c r="AE139" s="561"/>
      <c r="AF139" s="561"/>
      <c r="AG139" s="558"/>
      <c r="AH139" s="558"/>
      <c r="AI139" s="558"/>
      <c r="AJ139" s="558"/>
      <c r="AK139" s="558"/>
      <c r="AU139"/>
      <c r="AV139"/>
      <c r="AW139"/>
      <c r="AX139"/>
      <c r="AY139"/>
      <c r="AZ139"/>
      <c r="BA139"/>
      <c r="BB139"/>
      <c r="BC139"/>
      <c r="BD139"/>
      <c r="BE139"/>
      <c r="BF139"/>
    </row>
    <row r="140" spans="1:58" ht="15" thickBot="1">
      <c r="R140"/>
      <c r="S140"/>
      <c r="T140"/>
      <c r="U140">
        <f>U139*T138</f>
        <v>47.673861116498607</v>
      </c>
      <c r="V140"/>
      <c r="W140"/>
      <c r="X140" s="556">
        <f>X137*0.65</f>
        <v>30.988009725724101</v>
      </c>
      <c r="Y140" s="33" t="s">
        <v>433</v>
      </c>
      <c r="Z140"/>
      <c r="AA140"/>
      <c r="AB140"/>
      <c r="AC140" s="493"/>
      <c r="AD140" s="561"/>
      <c r="AE140" s="561"/>
      <c r="AF140" s="561"/>
      <c r="AG140" s="558"/>
      <c r="AH140" s="558"/>
      <c r="AI140" s="558"/>
      <c r="AJ140" s="558"/>
      <c r="AK140" s="558"/>
      <c r="AU140"/>
      <c r="AV140"/>
      <c r="AW140"/>
      <c r="AX140"/>
      <c r="AY140"/>
      <c r="AZ140"/>
      <c r="BA140"/>
      <c r="BB140"/>
      <c r="BC140"/>
      <c r="BD140"/>
      <c r="BE140"/>
      <c r="BF140"/>
    </row>
    <row r="141" spans="1:58" ht="15" thickBot="1">
      <c r="R141"/>
      <c r="S141"/>
      <c r="T141"/>
      <c r="U141"/>
      <c r="V141" s="458"/>
      <c r="W141" s="312"/>
      <c r="X141" s="556">
        <f>X138*0.65</f>
        <v>39.219199809119715</v>
      </c>
      <c r="Y141" s="33" t="s">
        <v>433</v>
      </c>
      <c r="Z141"/>
      <c r="AA141"/>
      <c r="AB141"/>
      <c r="AC141" s="493"/>
      <c r="AD141" s="561"/>
      <c r="AE141" s="561"/>
      <c r="AF141" s="561"/>
      <c r="AG141" s="558"/>
      <c r="AH141" s="558"/>
      <c r="AI141" s="558"/>
      <c r="AJ141" s="558"/>
      <c r="AK141" s="558"/>
      <c r="AU141"/>
      <c r="AV141"/>
      <c r="AW141"/>
      <c r="AX141"/>
      <c r="AY141"/>
      <c r="AZ141"/>
      <c r="BA141"/>
      <c r="BB141"/>
      <c r="BC141"/>
      <c r="BD141"/>
      <c r="BE141"/>
      <c r="BF141"/>
    </row>
    <row r="142" spans="1:58" ht="15" thickBot="1">
      <c r="AC142" s="493"/>
      <c r="AD142" s="561"/>
      <c r="AE142" s="561"/>
      <c r="AF142" s="561"/>
      <c r="AG142" s="558"/>
      <c r="AH142" s="558"/>
      <c r="AI142" s="558"/>
      <c r="AJ142" s="558"/>
      <c r="AK142" s="558"/>
      <c r="AU142"/>
      <c r="AV142"/>
      <c r="AW142"/>
      <c r="AX142"/>
      <c r="AY142"/>
      <c r="AZ142"/>
      <c r="BA142"/>
      <c r="BB142"/>
      <c r="BC142"/>
      <c r="BD142"/>
      <c r="BE142"/>
      <c r="BF142"/>
    </row>
    <row r="143" spans="1:58" ht="15" thickBot="1">
      <c r="W143" s="470"/>
      <c r="Z143" s="477"/>
      <c r="AC143" s="493"/>
      <c r="AD143" s="561"/>
      <c r="AE143" s="561"/>
      <c r="AF143" s="561"/>
      <c r="AG143" s="558"/>
      <c r="AH143" s="558"/>
      <c r="AI143" s="558"/>
      <c r="AJ143" s="558"/>
      <c r="AK143" s="558"/>
      <c r="AU143"/>
      <c r="AV143"/>
      <c r="AW143"/>
      <c r="AX143"/>
      <c r="AY143"/>
      <c r="AZ143"/>
      <c r="BA143"/>
      <c r="BB143"/>
      <c r="BC143"/>
      <c r="BD143"/>
      <c r="BE143"/>
      <c r="BF143"/>
    </row>
    <row r="144" spans="1:58" ht="15" thickBot="1">
      <c r="T144" s="478"/>
      <c r="AA144" s="477"/>
      <c r="AC144" s="493"/>
      <c r="AD144" s="561"/>
      <c r="AE144" s="561"/>
      <c r="AF144" s="561"/>
      <c r="AG144" s="558"/>
      <c r="AH144" s="558"/>
      <c r="AI144" s="558"/>
      <c r="AJ144" s="558"/>
      <c r="AK144" s="558"/>
      <c r="AU144"/>
      <c r="AV144"/>
      <c r="AW144"/>
      <c r="AX144"/>
      <c r="AY144"/>
      <c r="AZ144"/>
      <c r="BA144"/>
      <c r="BB144"/>
      <c r="BC144"/>
      <c r="BD144"/>
      <c r="BE144"/>
      <c r="BF144"/>
    </row>
    <row r="145" spans="17:58" ht="15" thickBot="1">
      <c r="V145" s="470"/>
      <c r="W145" s="470"/>
      <c r="AA145" s="477"/>
      <c r="AC145" s="493"/>
      <c r="AD145" s="561"/>
      <c r="AE145" s="561"/>
      <c r="AF145" s="561"/>
      <c r="AG145" s="558"/>
      <c r="AH145" s="558"/>
      <c r="AI145" s="558"/>
      <c r="AJ145" s="558"/>
      <c r="AK145" s="558"/>
      <c r="AU145"/>
      <c r="AV145"/>
      <c r="AW145"/>
      <c r="AX145"/>
      <c r="AY145"/>
      <c r="AZ145"/>
      <c r="BA145"/>
      <c r="BB145"/>
      <c r="BC145"/>
      <c r="BD145"/>
      <c r="BE145"/>
      <c r="BF145"/>
    </row>
    <row r="146" spans="17:58" ht="15" thickBot="1">
      <c r="V146" s="470"/>
      <c r="Y146" s="143"/>
      <c r="AC146" s="493"/>
      <c r="AD146" s="561"/>
      <c r="AE146" s="561"/>
      <c r="AF146" s="561"/>
      <c r="AG146" s="558"/>
      <c r="AH146" s="558"/>
      <c r="AI146" s="558"/>
      <c r="AJ146" s="558"/>
      <c r="AK146" s="558"/>
      <c r="AU146"/>
      <c r="AV146"/>
      <c r="AW146"/>
      <c r="AX146"/>
      <c r="AY146"/>
      <c r="AZ146"/>
      <c r="BA146"/>
      <c r="BB146"/>
      <c r="BC146"/>
      <c r="BD146"/>
      <c r="BE146"/>
      <c r="BF146"/>
    </row>
    <row r="147" spans="17:58" ht="15" thickBot="1">
      <c r="Y147" s="143"/>
      <c r="AC147" s="493"/>
      <c r="AD147" s="561"/>
      <c r="AE147" s="561"/>
      <c r="AF147" s="561"/>
      <c r="AG147" s="558"/>
      <c r="AH147" s="558"/>
      <c r="AI147" s="558"/>
      <c r="AJ147" s="558"/>
      <c r="AK147" s="558"/>
      <c r="AU147"/>
      <c r="AV147"/>
      <c r="AW147"/>
      <c r="AX147"/>
      <c r="AY147"/>
      <c r="AZ147"/>
      <c r="BA147"/>
      <c r="BB147"/>
      <c r="BC147"/>
      <c r="BD147"/>
      <c r="BE147"/>
      <c r="BF147"/>
    </row>
    <row r="148" spans="17:58" ht="15" thickBot="1">
      <c r="AC148" s="493"/>
      <c r="AD148" s="561"/>
      <c r="AE148" s="561"/>
      <c r="AF148" s="561"/>
      <c r="AG148" s="558"/>
      <c r="AH148" s="558"/>
      <c r="AI148" s="558"/>
      <c r="AJ148" s="558"/>
      <c r="AK148" s="558"/>
      <c r="AU148"/>
      <c r="AV148"/>
      <c r="AW148"/>
      <c r="AX148"/>
      <c r="AY148"/>
      <c r="AZ148"/>
      <c r="BA148"/>
      <c r="BB148"/>
      <c r="BC148"/>
      <c r="BD148"/>
      <c r="BE148"/>
      <c r="BF148"/>
    </row>
    <row r="149" spans="17:58" ht="15" thickBot="1">
      <c r="AC149" s="493"/>
      <c r="AD149" s="561"/>
      <c r="AE149" s="561"/>
      <c r="AF149" s="561"/>
      <c r="AG149" s="507"/>
      <c r="AH149" s="507"/>
      <c r="AI149" s="507"/>
      <c r="AJ149" s="507"/>
      <c r="AK149" s="507"/>
      <c r="AU149"/>
      <c r="AV149"/>
      <c r="AW149"/>
      <c r="AX149"/>
      <c r="AY149"/>
      <c r="AZ149"/>
      <c r="BA149"/>
      <c r="BB149"/>
      <c r="BC149"/>
      <c r="BD149"/>
      <c r="BE149"/>
      <c r="BF149"/>
    </row>
    <row r="150" spans="17:58" ht="15" thickBot="1">
      <c r="AC150" s="493"/>
      <c r="AD150" s="561"/>
      <c r="AE150" s="561"/>
      <c r="AF150" s="561"/>
      <c r="AG150" s="559"/>
      <c r="AH150" s="559"/>
      <c r="AI150" s="559"/>
      <c r="AJ150" s="559"/>
      <c r="AK150" s="559"/>
      <c r="AU150"/>
      <c r="AV150"/>
      <c r="AW150"/>
      <c r="AX150"/>
      <c r="AY150"/>
      <c r="AZ150"/>
      <c r="BA150"/>
      <c r="BB150"/>
      <c r="BC150"/>
      <c r="BD150"/>
      <c r="BE150"/>
      <c r="BF150"/>
    </row>
    <row r="151" spans="17:58" ht="15" thickBot="1">
      <c r="X151" s="506"/>
      <c r="AC151" s="493"/>
      <c r="AD151" s="561"/>
      <c r="AE151" s="561"/>
      <c r="AF151" s="561"/>
      <c r="AG151" s="559"/>
      <c r="AH151" s="559"/>
      <c r="AI151" s="559"/>
      <c r="AJ151" s="559"/>
      <c r="AK151" s="559"/>
      <c r="AU151"/>
      <c r="AV151"/>
      <c r="AW151"/>
      <c r="AX151"/>
      <c r="AY151"/>
      <c r="AZ151"/>
      <c r="BA151"/>
      <c r="BB151"/>
      <c r="BC151"/>
      <c r="BD151"/>
      <c r="BE151"/>
      <c r="BF151"/>
    </row>
    <row r="152" spans="17:58" ht="15" thickBot="1">
      <c r="AC152" s="493"/>
      <c r="AD152" s="561"/>
      <c r="AE152" s="561"/>
      <c r="AF152" s="561"/>
      <c r="AG152" s="507"/>
      <c r="AH152" s="507"/>
      <c r="AI152" s="507"/>
      <c r="AJ152" s="507"/>
      <c r="AK152" s="507"/>
      <c r="AU152"/>
      <c r="AV152"/>
      <c r="AW152"/>
      <c r="AX152"/>
      <c r="AY152"/>
      <c r="AZ152"/>
      <c r="BA152"/>
      <c r="BB152"/>
      <c r="BC152"/>
      <c r="BD152"/>
      <c r="BE152"/>
      <c r="BF152"/>
    </row>
    <row r="153" spans="17:58" ht="15" thickBot="1">
      <c r="AC153" s="493"/>
      <c r="AD153" s="561"/>
      <c r="AE153" s="561"/>
      <c r="AF153" s="561"/>
      <c r="AG153" s="507"/>
      <c r="AH153" s="507"/>
      <c r="AI153" s="507"/>
      <c r="AJ153" s="507"/>
      <c r="AK153" s="507"/>
      <c r="AU153"/>
      <c r="AV153"/>
      <c r="AW153"/>
      <c r="AX153"/>
      <c r="AY153"/>
      <c r="AZ153"/>
      <c r="BA153"/>
      <c r="BB153"/>
      <c r="BC153"/>
      <c r="BD153"/>
      <c r="BE153"/>
      <c r="BF153"/>
    </row>
    <row r="154" spans="17:58" ht="15" thickBot="1">
      <c r="Q154" s="581"/>
      <c r="R154" s="582"/>
      <c r="S154" s="582"/>
      <c r="T154" s="582"/>
      <c r="U154" s="582"/>
      <c r="V154" s="582"/>
      <c r="AC154" s="1"/>
      <c r="AD154" s="1"/>
      <c r="AE154" s="1"/>
      <c r="AF154" s="1"/>
      <c r="AG154" s="559"/>
      <c r="AH154" s="559"/>
      <c r="AI154" s="559"/>
      <c r="AJ154" s="559"/>
      <c r="AK154" s="559"/>
      <c r="AU154"/>
      <c r="AV154"/>
      <c r="AW154"/>
      <c r="AX154"/>
      <c r="AY154"/>
      <c r="AZ154"/>
      <c r="BA154"/>
      <c r="BB154"/>
      <c r="BC154"/>
      <c r="BD154"/>
      <c r="BE154"/>
      <c r="BF154"/>
    </row>
    <row r="155" spans="17:58" ht="15" thickBot="1">
      <c r="Q155" s="583"/>
      <c r="R155" s="584"/>
      <c r="S155" s="584"/>
      <c r="T155" s="584"/>
      <c r="U155" s="584"/>
      <c r="V155" s="584"/>
      <c r="AC155" s="312"/>
      <c r="AD155" s="312"/>
      <c r="AE155" s="312"/>
      <c r="AF155" s="312"/>
      <c r="AG155" s="507"/>
      <c r="AH155" s="507"/>
      <c r="AI155" s="507"/>
      <c r="AJ155" s="507"/>
      <c r="AK155" s="507"/>
      <c r="AU155"/>
      <c r="AV155"/>
      <c r="AW155"/>
      <c r="AX155"/>
      <c r="AY155"/>
      <c r="AZ155"/>
      <c r="BA155"/>
      <c r="BB155"/>
      <c r="BC155"/>
      <c r="BD155"/>
      <c r="BE155"/>
      <c r="BF155"/>
    </row>
    <row r="156" spans="17:58" ht="24.6" customHeight="1" thickBot="1">
      <c r="Q156" s="583"/>
      <c r="R156" s="586"/>
      <c r="S156" s="587"/>
      <c r="T156" s="584"/>
      <c r="U156" s="584"/>
      <c r="V156" s="584"/>
      <c r="AC156" s="312"/>
      <c r="AD156" s="312"/>
      <c r="AE156" s="312"/>
      <c r="AF156" s="312"/>
      <c r="AG156" s="187"/>
      <c r="AH156" s="187"/>
      <c r="AI156" s="187"/>
      <c r="AJ156" s="187"/>
      <c r="AK156" s="187"/>
      <c r="AU156"/>
      <c r="AV156"/>
      <c r="AW156"/>
      <c r="AX156"/>
      <c r="AY156"/>
      <c r="AZ156"/>
      <c r="BA156"/>
      <c r="BB156"/>
      <c r="BC156"/>
      <c r="BD156"/>
      <c r="BE156"/>
      <c r="BF156"/>
    </row>
    <row r="157" spans="17:58" ht="15" thickBot="1">
      <c r="Q157" s="583"/>
      <c r="R157" s="588"/>
      <c r="S157" s="589"/>
      <c r="T157" s="584"/>
      <c r="U157" s="584"/>
      <c r="V157" s="584"/>
      <c r="AC157"/>
      <c r="AD157"/>
      <c r="AE157"/>
      <c r="AF157"/>
      <c r="AG157" s="560"/>
      <c r="AH157" s="560"/>
      <c r="AI157" s="560"/>
      <c r="AJ157" s="560"/>
      <c r="AK157" s="560"/>
      <c r="AU157"/>
      <c r="AV157"/>
      <c r="AW157"/>
      <c r="AX157"/>
      <c r="AY157"/>
      <c r="AZ157"/>
      <c r="BA157"/>
      <c r="BB157"/>
      <c r="BC157"/>
      <c r="BD157"/>
      <c r="BE157"/>
      <c r="BF157"/>
    </row>
    <row r="158" spans="17:58" ht="14.4">
      <c r="AC158"/>
      <c r="AD158"/>
      <c r="AE158"/>
      <c r="AF158"/>
      <c r="AG158" s="560"/>
      <c r="AH158" s="560"/>
      <c r="AI158" s="560"/>
      <c r="AJ158" s="560"/>
      <c r="AK158" s="560"/>
      <c r="AU158"/>
      <c r="AV158"/>
      <c r="AW158"/>
      <c r="AX158"/>
      <c r="AY158"/>
      <c r="AZ158"/>
      <c r="BA158"/>
      <c r="BB158"/>
      <c r="BC158"/>
      <c r="BD158"/>
      <c r="BE158"/>
      <c r="BF158"/>
    </row>
    <row r="159" spans="17:58" ht="15" thickBot="1">
      <c r="AC159"/>
      <c r="AD159"/>
      <c r="AE159"/>
      <c r="AF159"/>
      <c r="AG159" s="561"/>
      <c r="AH159" s="561"/>
      <c r="AI159" s="561"/>
      <c r="AJ159" s="561"/>
      <c r="AK159" s="561"/>
      <c r="AU159"/>
      <c r="AV159"/>
      <c r="AW159"/>
      <c r="AX159"/>
      <c r="AY159"/>
      <c r="AZ159"/>
      <c r="BA159"/>
      <c r="BB159"/>
      <c r="BC159"/>
      <c r="BD159"/>
      <c r="BE159"/>
      <c r="BF159"/>
    </row>
    <row r="160" spans="17:58" ht="15" thickBot="1">
      <c r="Q160" s="581"/>
      <c r="R160" s="583"/>
      <c r="AC160"/>
      <c r="AD160"/>
      <c r="AE160"/>
      <c r="AF160"/>
      <c r="AG160" s="561"/>
      <c r="AH160" s="561"/>
      <c r="AI160" s="561"/>
      <c r="AJ160" s="561"/>
      <c r="AK160" s="561"/>
      <c r="AU160"/>
      <c r="AV160"/>
      <c r="AW160"/>
      <c r="AX160"/>
      <c r="AY160"/>
      <c r="AZ160"/>
      <c r="BA160"/>
      <c r="BB160"/>
      <c r="BC160"/>
      <c r="BD160"/>
      <c r="BE160"/>
      <c r="BF160"/>
    </row>
    <row r="161" spans="17:58" ht="15" thickBot="1">
      <c r="Q161" s="582"/>
      <c r="R161" s="584"/>
      <c r="AC161"/>
      <c r="AD161"/>
      <c r="AE161"/>
      <c r="AF161"/>
      <c r="AG161" s="561"/>
      <c r="AH161" s="561"/>
      <c r="AI161" s="561"/>
      <c r="AJ161" s="561"/>
      <c r="AK161" s="561"/>
      <c r="AU161"/>
      <c r="AV161"/>
      <c r="AW161"/>
      <c r="AX161"/>
      <c r="AY161"/>
      <c r="AZ161"/>
      <c r="BA161"/>
      <c r="BB161"/>
      <c r="BC161"/>
      <c r="BD161"/>
      <c r="BE161"/>
      <c r="BF161"/>
    </row>
    <row r="162" spans="17:58" ht="15" thickBot="1">
      <c r="Q162" s="582"/>
      <c r="R162" s="584"/>
      <c r="AC162"/>
      <c r="AD162"/>
      <c r="AE162"/>
      <c r="AF162"/>
      <c r="AG162" s="561"/>
      <c r="AH162" s="561"/>
      <c r="AI162" s="561"/>
      <c r="AJ162" s="561"/>
      <c r="AK162" s="561"/>
      <c r="AU162"/>
      <c r="AV162"/>
      <c r="AW162"/>
      <c r="AX162"/>
      <c r="AY162"/>
      <c r="AZ162"/>
      <c r="BA162"/>
      <c r="BB162"/>
      <c r="BC162"/>
      <c r="BD162"/>
      <c r="BE162"/>
      <c r="BF162"/>
    </row>
    <row r="163" spans="17:58" ht="15" thickBot="1">
      <c r="Q163" s="582"/>
      <c r="R163" s="584"/>
      <c r="AC163"/>
      <c r="AD163"/>
      <c r="AE163"/>
      <c r="AF163"/>
      <c r="AG163" s="561"/>
      <c r="AH163" s="561"/>
      <c r="AI163" s="561"/>
      <c r="AJ163" s="561"/>
      <c r="AK163" s="561"/>
      <c r="AU163"/>
      <c r="AV163"/>
      <c r="AW163"/>
      <c r="AX163"/>
      <c r="AY163"/>
      <c r="AZ163"/>
      <c r="BA163"/>
      <c r="BB163"/>
      <c r="BC163"/>
      <c r="BD163"/>
      <c r="BE163"/>
      <c r="BF163"/>
    </row>
    <row r="164" spans="17:58" ht="15" thickBot="1">
      <c r="Q164" s="582"/>
      <c r="R164" s="584"/>
      <c r="AE164" s="597"/>
      <c r="AF164" s="597"/>
      <c r="AG164" s="561"/>
      <c r="AH164" s="561"/>
      <c r="AI164" s="561"/>
      <c r="AJ164" s="561"/>
      <c r="AK164" s="561"/>
      <c r="AU164"/>
      <c r="AV164"/>
      <c r="AW164"/>
      <c r="AX164"/>
      <c r="AY164"/>
      <c r="AZ164"/>
      <c r="BA164"/>
      <c r="BB164"/>
      <c r="BC164"/>
      <c r="BD164"/>
      <c r="BE164"/>
      <c r="BF164"/>
    </row>
    <row r="165" spans="17:58" ht="15" thickBot="1">
      <c r="Q165" s="582"/>
      <c r="R165" s="584"/>
      <c r="AE165" s="597"/>
      <c r="AF165" s="597"/>
      <c r="AG165" s="561"/>
      <c r="AH165" s="561"/>
      <c r="AI165" s="561"/>
      <c r="AJ165" s="561"/>
      <c r="AK165" s="561"/>
      <c r="AU165"/>
      <c r="AV165"/>
      <c r="AW165"/>
      <c r="AX165"/>
      <c r="AY165"/>
      <c r="AZ165"/>
      <c r="BA165"/>
      <c r="BB165"/>
      <c r="BC165"/>
      <c r="BD165"/>
      <c r="BE165"/>
      <c r="BF165"/>
    </row>
    <row r="166" spans="17:58" ht="12" thickBot="1">
      <c r="Q166" s="583"/>
      <c r="R166" s="583"/>
      <c r="AE166" s="597"/>
      <c r="AF166" s="597"/>
      <c r="AG166" s="561"/>
      <c r="AH166" s="561"/>
      <c r="AI166" s="561"/>
      <c r="AJ166" s="561"/>
      <c r="AK166" s="561"/>
    </row>
    <row r="167" spans="17:58" ht="12" customHeight="1" thickBot="1">
      <c r="Q167" s="586"/>
      <c r="R167" s="588"/>
      <c r="AE167" s="597"/>
      <c r="AF167" s="597"/>
      <c r="AG167" s="561"/>
      <c r="AH167" s="561"/>
      <c r="AI167" s="561"/>
      <c r="AJ167" s="561"/>
      <c r="AK167" s="561"/>
    </row>
    <row r="168" spans="17:58" ht="12" customHeight="1" thickBot="1">
      <c r="Q168" s="587"/>
      <c r="R168" s="589"/>
      <c r="AE168" s="597"/>
      <c r="AF168" s="597"/>
      <c r="AG168" s="561"/>
      <c r="AH168" s="561"/>
      <c r="AI168" s="561"/>
      <c r="AJ168" s="561"/>
      <c r="AK168" s="561"/>
    </row>
    <row r="169" spans="17:58">
      <c r="AE169" s="597"/>
      <c r="AF169" s="597"/>
      <c r="AG169" s="561"/>
      <c r="AH169" s="561"/>
      <c r="AI169" s="561"/>
      <c r="AJ169" s="561"/>
      <c r="AK169" s="561"/>
    </row>
    <row r="170" spans="17:58">
      <c r="AE170" s="597"/>
      <c r="AF170" s="597"/>
      <c r="AG170" s="561"/>
      <c r="AH170" s="561"/>
      <c r="AI170" s="561"/>
      <c r="AJ170" s="561"/>
      <c r="AK170" s="561"/>
    </row>
    <row r="171" spans="17:58">
      <c r="AE171" s="597"/>
      <c r="AF171" s="597"/>
      <c r="AG171" s="561"/>
      <c r="AH171" s="561"/>
      <c r="AI171" s="561"/>
      <c r="AJ171" s="561"/>
      <c r="AK171" s="561"/>
    </row>
    <row r="172" spans="17:58">
      <c r="AE172" s="597"/>
      <c r="AF172" s="597"/>
      <c r="AG172" s="561"/>
      <c r="AH172" s="561"/>
      <c r="AI172" s="561"/>
      <c r="AJ172" s="561"/>
      <c r="AK172" s="561"/>
    </row>
    <row r="173" spans="17:58">
      <c r="AE173" s="597"/>
      <c r="AF173" s="597"/>
      <c r="AG173" s="561"/>
      <c r="AH173" s="561"/>
      <c r="AI173" s="561"/>
      <c r="AJ173" s="561"/>
      <c r="AK173" s="561"/>
    </row>
    <row r="174" spans="17:58">
      <c r="AE174" s="597"/>
      <c r="AF174" s="597"/>
      <c r="AG174" s="561"/>
      <c r="AH174" s="561"/>
      <c r="AI174" s="561"/>
      <c r="AJ174" s="561"/>
      <c r="AK174" s="561"/>
    </row>
    <row r="175" spans="17:58">
      <c r="AE175" s="597"/>
      <c r="AF175" s="597"/>
      <c r="AG175" s="561"/>
      <c r="AH175" s="561"/>
      <c r="AI175" s="561"/>
      <c r="AJ175" s="561"/>
      <c r="AK175" s="561"/>
    </row>
    <row r="176" spans="17:58">
      <c r="AE176" s="597"/>
      <c r="AF176" s="597"/>
      <c r="AG176" s="561"/>
      <c r="AH176" s="561"/>
      <c r="AI176" s="561"/>
      <c r="AJ176" s="561"/>
      <c r="AK176" s="561"/>
    </row>
    <row r="177" spans="18:37">
      <c r="AE177" s="597"/>
      <c r="AF177" s="597"/>
      <c r="AG177" s="561"/>
      <c r="AH177" s="561"/>
      <c r="AI177" s="561"/>
      <c r="AJ177" s="561"/>
      <c r="AK177" s="561"/>
    </row>
    <row r="178" spans="18:37" ht="14.4">
      <c r="AE178" s="597"/>
      <c r="AF178" s="597"/>
      <c r="AG178" s="1"/>
      <c r="AH178" s="1"/>
      <c r="AI178" s="1"/>
      <c r="AJ178" s="1"/>
      <c r="AK178" s="1"/>
    </row>
    <row r="179" spans="18:37" ht="68.400000000000006" customHeight="1">
      <c r="R179" s="585" t="s">
        <v>628</v>
      </c>
      <c r="S179" s="585" t="s">
        <v>629</v>
      </c>
      <c r="T179" s="449"/>
      <c r="U179" s="585" t="s">
        <v>628</v>
      </c>
      <c r="V179" s="585" t="s">
        <v>621</v>
      </c>
      <c r="W179" s="585" t="s">
        <v>622</v>
      </c>
      <c r="X179" s="585" t="s">
        <v>623</v>
      </c>
      <c r="Y179" s="585" t="s">
        <v>632</v>
      </c>
      <c r="Z179" s="585" t="s">
        <v>626</v>
      </c>
      <c r="AA179" s="595" t="s">
        <v>627</v>
      </c>
      <c r="AB179" s="596"/>
      <c r="AE179" s="597"/>
      <c r="AF179" s="597"/>
      <c r="AG179" s="312"/>
      <c r="AH179" s="312"/>
      <c r="AI179" s="312"/>
      <c r="AJ179" s="312"/>
      <c r="AK179" s="312"/>
    </row>
    <row r="180" spans="18:37" ht="34.200000000000003">
      <c r="R180" s="585" t="s">
        <v>621</v>
      </c>
      <c r="S180" s="585" t="s">
        <v>630</v>
      </c>
      <c r="T180" s="449"/>
      <c r="U180" s="585" t="s">
        <v>629</v>
      </c>
      <c r="V180" s="585" t="s">
        <v>630</v>
      </c>
      <c r="W180" s="585" t="s">
        <v>631</v>
      </c>
      <c r="X180" s="585" t="s">
        <v>624</v>
      </c>
      <c r="Y180" s="585" t="s">
        <v>625</v>
      </c>
      <c r="Z180" s="585" t="s">
        <v>633</v>
      </c>
      <c r="AA180" s="585" t="s">
        <v>634</v>
      </c>
      <c r="AB180" s="594"/>
      <c r="AE180" s="597"/>
      <c r="AF180" s="597"/>
      <c r="AG180" s="312"/>
      <c r="AH180" s="312"/>
      <c r="AI180" s="312"/>
      <c r="AJ180" s="312"/>
      <c r="AK180" s="312"/>
    </row>
    <row r="181" spans="18:37" ht="45.6">
      <c r="R181" s="585" t="s">
        <v>622</v>
      </c>
      <c r="S181" s="585" t="s">
        <v>631</v>
      </c>
      <c r="T181" s="449"/>
      <c r="AE181" s="597"/>
      <c r="AF181" s="597"/>
      <c r="AG181"/>
      <c r="AH181"/>
      <c r="AI181"/>
      <c r="AJ181"/>
      <c r="AK181"/>
    </row>
    <row r="182" spans="18:37" ht="24.6">
      <c r="R182" s="585" t="s">
        <v>623</v>
      </c>
      <c r="S182" s="585" t="s">
        <v>624</v>
      </c>
      <c r="T182" s="449"/>
      <c r="AE182" s="597"/>
      <c r="AF182" s="597"/>
      <c r="AG182"/>
      <c r="AH182"/>
      <c r="AI182"/>
      <c r="AJ182"/>
      <c r="AK182"/>
    </row>
    <row r="183" spans="18:37" ht="34.200000000000003">
      <c r="R183" s="585" t="s">
        <v>632</v>
      </c>
      <c r="S183" s="585" t="s">
        <v>625</v>
      </c>
      <c r="T183" s="449"/>
      <c r="AE183" s="597"/>
      <c r="AF183" s="597"/>
      <c r="AG183"/>
      <c r="AH183"/>
      <c r="AI183"/>
      <c r="AJ183"/>
      <c r="AK183"/>
    </row>
    <row r="184" spans="18:37" ht="22.8">
      <c r="R184" s="585" t="s">
        <v>626</v>
      </c>
      <c r="S184" s="585" t="s">
        <v>633</v>
      </c>
      <c r="T184" s="449"/>
      <c r="AE184" s="597"/>
      <c r="AF184" s="597"/>
      <c r="AG184"/>
      <c r="AH184"/>
      <c r="AI184"/>
      <c r="AJ184"/>
      <c r="AK184"/>
    </row>
    <row r="185" spans="18:37" ht="33" customHeight="1">
      <c r="R185" s="591" t="s">
        <v>627</v>
      </c>
      <c r="S185" s="590" t="s">
        <v>634</v>
      </c>
      <c r="T185" s="449"/>
      <c r="AE185" s="597"/>
      <c r="AF185" s="597"/>
      <c r="AG185"/>
      <c r="AH185"/>
      <c r="AI185"/>
      <c r="AJ185"/>
      <c r="AK185"/>
    </row>
    <row r="186" spans="18:37" ht="14.4">
      <c r="R186" s="592"/>
      <c r="S186" s="593"/>
      <c r="T186" s="449"/>
      <c r="AE186" s="597"/>
      <c r="AF186" s="597"/>
      <c r="AG186"/>
      <c r="AH186"/>
      <c r="AI186"/>
      <c r="AJ186"/>
      <c r="AK186"/>
    </row>
    <row r="187" spans="18:37" ht="14.4">
      <c r="AE187" s="597"/>
      <c r="AF187" s="597"/>
      <c r="AG187"/>
      <c r="AH187"/>
      <c r="AI187"/>
      <c r="AJ187"/>
      <c r="AK187"/>
    </row>
  </sheetData>
  <mergeCells count="7">
    <mergeCell ref="Z79:AA79"/>
    <mergeCell ref="R156:S156"/>
    <mergeCell ref="R157:S157"/>
    <mergeCell ref="Q167:Q168"/>
    <mergeCell ref="R167:R168"/>
    <mergeCell ref="R185:R186"/>
    <mergeCell ref="S185:S186"/>
  </mergeCells>
  <phoneticPr fontId="1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AAD5-C933-4A46-AC14-6C0147DEF55E}">
  <dimension ref="A1:BE100"/>
  <sheetViews>
    <sheetView topLeftCell="U19" zoomScale="65" zoomScaleNormal="65" workbookViewId="0">
      <selection activeCell="C4" sqref="C4"/>
    </sheetView>
  </sheetViews>
  <sheetFormatPr defaultRowHeight="13.8"/>
  <cols>
    <col min="1" max="1" width="20.5546875" style="350" bestFit="1" customWidth="1"/>
    <col min="2" max="2" width="9.5546875" style="350" bestFit="1" customWidth="1"/>
    <col min="3" max="3" width="8.33203125" style="350" bestFit="1" customWidth="1"/>
    <col min="4" max="4" width="8.77734375" style="350" customWidth="1"/>
    <col min="5" max="5" width="9.88671875" style="350" bestFit="1" customWidth="1"/>
    <col min="6" max="6" width="6.21875" style="350" bestFit="1" customWidth="1"/>
    <col min="7" max="7" width="11.44140625" style="350" bestFit="1" customWidth="1"/>
    <col min="8" max="8" width="8.88671875" style="350" bestFit="1" customWidth="1"/>
    <col min="9" max="9" width="9" style="351" bestFit="1" customWidth="1"/>
    <col min="10" max="10" width="7.109375" style="351" bestFit="1" customWidth="1"/>
    <col min="11" max="11" width="0.6640625" style="351" customWidth="1"/>
    <col min="12" max="12" width="3.109375" style="351" customWidth="1"/>
    <col min="13" max="13" width="5.88671875" style="351" customWidth="1"/>
    <col min="14" max="15" width="9.44140625" style="350" customWidth="1"/>
    <col min="16" max="25" width="12.77734375" style="350" customWidth="1"/>
    <col min="26" max="26" width="5.88671875" style="350" customWidth="1"/>
    <col min="27" max="28" width="8.6640625" style="350" customWidth="1"/>
    <col min="29" max="39" width="5.88671875" style="350" customWidth="1"/>
    <col min="40" max="41" width="9" style="350" bestFit="1" customWidth="1"/>
    <col min="42" max="43" width="8.88671875" style="350"/>
    <col min="44" max="46" width="9" style="350" bestFit="1" customWidth="1"/>
    <col min="47" max="47" width="9" style="350" customWidth="1"/>
    <col min="48" max="16384" width="8.88671875" style="350"/>
  </cols>
  <sheetData>
    <row r="1" spans="1:57" ht="20.399999999999999" customHeight="1">
      <c r="A1" s="338"/>
      <c r="B1" s="338" t="s">
        <v>407</v>
      </c>
      <c r="C1" s="339" t="s">
        <v>244</v>
      </c>
      <c r="D1" s="340" t="s">
        <v>74</v>
      </c>
      <c r="E1" s="341" t="s">
        <v>150</v>
      </c>
      <c r="F1" s="342" t="s">
        <v>57</v>
      </c>
      <c r="G1" s="342" t="s">
        <v>1</v>
      </c>
      <c r="H1" s="342" t="s">
        <v>2</v>
      </c>
      <c r="I1" s="343" t="s">
        <v>164</v>
      </c>
      <c r="J1" s="344" t="s">
        <v>163</v>
      </c>
      <c r="K1" s="345"/>
      <c r="L1" s="346"/>
      <c r="M1" s="347" t="s">
        <v>379</v>
      </c>
      <c r="N1" s="347"/>
      <c r="O1" s="347"/>
      <c r="P1" s="347"/>
      <c r="Q1" s="348" t="s">
        <v>388</v>
      </c>
      <c r="R1" s="348"/>
      <c r="S1" s="348"/>
      <c r="T1" s="348"/>
      <c r="U1" s="349" t="s">
        <v>425</v>
      </c>
      <c r="V1" s="349" t="s">
        <v>426</v>
      </c>
      <c r="W1" s="349"/>
      <c r="X1" s="349"/>
      <c r="Y1" s="349"/>
      <c r="Z1" s="349"/>
      <c r="AT1" s="351" t="s">
        <v>405</v>
      </c>
      <c r="AU1" s="351">
        <f>60</f>
        <v>60</v>
      </c>
      <c r="AV1" s="351"/>
      <c r="AW1" s="351"/>
      <c r="AX1" s="351"/>
      <c r="AZ1" s="419" t="s">
        <v>416</v>
      </c>
      <c r="BA1" s="419"/>
      <c r="BC1" s="350" t="s">
        <v>428</v>
      </c>
    </row>
    <row r="2" spans="1:57" s="356" customFormat="1" ht="15.6" customHeight="1">
      <c r="A2" s="352"/>
      <c r="B2" s="352"/>
      <c r="C2" s="353"/>
      <c r="D2" s="354"/>
      <c r="E2" s="355"/>
      <c r="F2" s="342"/>
      <c r="G2" s="342"/>
      <c r="H2" s="342"/>
      <c r="I2" s="342"/>
      <c r="J2" s="342"/>
      <c r="K2" s="345" t="s">
        <v>386</v>
      </c>
      <c r="L2" s="345" t="s">
        <v>385</v>
      </c>
      <c r="Q2" s="357" t="s">
        <v>387</v>
      </c>
      <c r="R2" s="357" t="s">
        <v>384</v>
      </c>
      <c r="S2" s="358" t="s">
        <v>408</v>
      </c>
      <c r="T2" s="358"/>
      <c r="U2" s="359" t="s">
        <v>410</v>
      </c>
      <c r="V2" s="359"/>
      <c r="W2" s="359"/>
      <c r="X2" s="360" t="s">
        <v>424</v>
      </c>
      <c r="Y2" s="360"/>
      <c r="Z2" s="360"/>
      <c r="AA2" s="361"/>
      <c r="AB2" s="361"/>
      <c r="AC2" s="361"/>
      <c r="AD2" s="362"/>
      <c r="AE2" s="362"/>
      <c r="AF2" s="362"/>
      <c r="AQ2" s="356" t="s">
        <v>419</v>
      </c>
      <c r="AS2" s="356">
        <v>8.3000000000000007</v>
      </c>
      <c r="AT2" s="422">
        <v>5</v>
      </c>
      <c r="AU2" s="351">
        <v>10</v>
      </c>
      <c r="AV2" s="351">
        <v>20</v>
      </c>
      <c r="AW2" s="422">
        <v>1.4</v>
      </c>
      <c r="AX2" s="422">
        <v>1</v>
      </c>
      <c r="AY2" s="350">
        <f>120/100</f>
        <v>1.2</v>
      </c>
      <c r="AZ2" s="419">
        <v>1.58</v>
      </c>
      <c r="BA2" s="419">
        <v>2.62</v>
      </c>
      <c r="BB2" s="350">
        <v>4.2</v>
      </c>
      <c r="BC2" s="425">
        <f>12/60</f>
        <v>0.2</v>
      </c>
      <c r="BD2" s="415">
        <f>5/60</f>
        <v>8.3333333333333329E-2</v>
      </c>
      <c r="BE2" s="425">
        <f>62/60</f>
        <v>1.0333333333333334</v>
      </c>
    </row>
    <row r="3" spans="1:57" s="356" customFormat="1" ht="15.6" customHeight="1">
      <c r="A3" s="352"/>
      <c r="B3" s="352"/>
      <c r="C3" s="353"/>
      <c r="D3" s="354"/>
      <c r="E3" s="355"/>
      <c r="F3" s="342"/>
      <c r="G3" s="342"/>
      <c r="H3" s="342"/>
      <c r="I3" s="342"/>
      <c r="J3" s="342"/>
      <c r="K3" s="345"/>
      <c r="L3" s="345"/>
      <c r="M3" s="363"/>
      <c r="N3" s="363">
        <v>5</v>
      </c>
      <c r="O3" s="415">
        <v>0.35</v>
      </c>
      <c r="P3" s="415">
        <v>0.65</v>
      </c>
      <c r="Q3" s="340" t="s">
        <v>74</v>
      </c>
      <c r="R3" s="357"/>
      <c r="S3" s="358" t="s">
        <v>409</v>
      </c>
      <c r="T3" s="358"/>
      <c r="U3" s="339" t="s">
        <v>244</v>
      </c>
      <c r="V3" s="359"/>
      <c r="W3" s="359"/>
      <c r="X3" s="343" t="s">
        <v>164</v>
      </c>
      <c r="Y3" s="360"/>
      <c r="Z3" s="360"/>
      <c r="AA3" s="344" t="s">
        <v>163</v>
      </c>
      <c r="AB3" s="361"/>
      <c r="AC3" s="361"/>
      <c r="AD3" s="341" t="s">
        <v>150</v>
      </c>
      <c r="AE3" s="362"/>
      <c r="AF3" s="362"/>
      <c r="AG3" s="342" t="s">
        <v>57</v>
      </c>
      <c r="AJ3" s="342" t="s">
        <v>1</v>
      </c>
      <c r="AM3" s="342" t="s">
        <v>2</v>
      </c>
      <c r="AT3" s="422" t="s">
        <v>404</v>
      </c>
      <c r="AU3" s="351"/>
      <c r="AV3" s="351"/>
      <c r="AW3" s="422"/>
      <c r="AX3" s="422"/>
      <c r="AY3" s="350"/>
      <c r="AZ3" s="360" t="s">
        <v>414</v>
      </c>
      <c r="BA3" s="419" t="s">
        <v>415</v>
      </c>
      <c r="BB3" s="350"/>
      <c r="BC3" s="423" t="s">
        <v>427</v>
      </c>
      <c r="BD3" s="350" t="s">
        <v>427</v>
      </c>
      <c r="BE3" s="423" t="s">
        <v>427</v>
      </c>
    </row>
    <row r="4" spans="1:57">
      <c r="A4" s="364" t="s">
        <v>3</v>
      </c>
      <c r="B4" s="365">
        <v>358.06235848602756</v>
      </c>
      <c r="C4" s="366">
        <v>86.421207829540734</v>
      </c>
      <c r="D4" s="354">
        <v>13972.324834978504</v>
      </c>
      <c r="E4" s="342">
        <v>32.544631176127496</v>
      </c>
      <c r="F4" s="342">
        <v>1095.8686145081178</v>
      </c>
      <c r="G4" s="342">
        <v>5080.8453945376377</v>
      </c>
      <c r="H4" s="342">
        <v>89.740298635177354</v>
      </c>
      <c r="I4" s="342">
        <v>3733.6559000582574</v>
      </c>
      <c r="J4" s="342">
        <v>1267.2323831493384</v>
      </c>
      <c r="K4" s="345">
        <f>60/4.2</f>
        <v>14.285714285714285</v>
      </c>
      <c r="L4" s="367">
        <f>0.55*1</f>
        <v>0.55000000000000004</v>
      </c>
      <c r="M4" s="363">
        <v>1.4</v>
      </c>
      <c r="N4" s="363">
        <v>0.2</v>
      </c>
      <c r="Q4" s="368">
        <f>(D4*0.714/0.65)/60</f>
        <v>255.80102390191416</v>
      </c>
      <c r="R4" s="368">
        <f>(D4*0.2/0.65)/60</f>
        <v>71.652947871684631</v>
      </c>
      <c r="S4" s="368">
        <f>(B4*1/0.35)/60</f>
        <v>17.050588499334648</v>
      </c>
      <c r="T4" s="368">
        <f>(B4*0.714/0.35)/60</f>
        <v>12.174120188524938</v>
      </c>
      <c r="U4" s="368">
        <f>(C4*1/0.35)/60</f>
        <v>4.1152956109305112</v>
      </c>
      <c r="V4" s="368">
        <f>(C4*0.714/0.35)/60</f>
        <v>2.9383210662043853</v>
      </c>
      <c r="W4" s="368">
        <f>(C4/0.714/0.35)/60</f>
        <v>5.7637193430399325</v>
      </c>
      <c r="X4" s="368">
        <f>(I4*0.2/0.92)/60</f>
        <v>13.527738768327021</v>
      </c>
      <c r="Y4" s="368">
        <f>(I4*0.1/0.92)/60</f>
        <v>6.7638693841635105</v>
      </c>
      <c r="Z4" s="368"/>
      <c r="AA4" s="368">
        <f>(J4*0.714/0.65)/60</f>
        <v>23.200100553041732</v>
      </c>
      <c r="AB4" s="368">
        <f>(J4*0.2/0.65)/60</f>
        <v>6.4986276058940424</v>
      </c>
      <c r="AC4" s="368"/>
      <c r="AD4" s="368">
        <f t="shared" ref="AD4:AD24" si="0">(E4*5/0.4)/60</f>
        <v>6.7801314950265619</v>
      </c>
      <c r="AE4" s="368">
        <f>(E4*0.96774/0.4)/60</f>
        <v>1.3122808905994008</v>
      </c>
      <c r="AF4" s="368"/>
      <c r="AG4" s="368">
        <f>(F4*0.714/0.65)/60</f>
        <v>20.062825404071695</v>
      </c>
      <c r="AH4" s="368">
        <f>(F4*0.2/0.65)/60</f>
        <v>5.6198390487595784</v>
      </c>
      <c r="AI4" s="368"/>
      <c r="AJ4" s="368">
        <f>(G4*0.714/0.65)/60</f>
        <v>93.018554146150592</v>
      </c>
      <c r="AK4" s="368">
        <f>(G4*0.2/0.65)/60</f>
        <v>26.055617407885322</v>
      </c>
      <c r="AL4" s="368"/>
      <c r="AM4" s="368">
        <f>(H4*1/0.65)/60</f>
        <v>2.3010332983378805</v>
      </c>
      <c r="AN4" s="368">
        <f>(H4*0.714/0.65)/60</f>
        <v>1.642937775013247</v>
      </c>
      <c r="AR4" s="350">
        <v>30</v>
      </c>
      <c r="AS4" s="350">
        <f>AU1/AS2</f>
        <v>7.2289156626506017</v>
      </c>
      <c r="AT4" s="422">
        <f>AU1/AT2</f>
        <v>12</v>
      </c>
      <c r="AU4" s="351">
        <f>AU1/AU2</f>
        <v>6</v>
      </c>
      <c r="AV4" s="351">
        <f>AU1/AV2</f>
        <v>3</v>
      </c>
      <c r="AW4" s="422">
        <f>AU1/AW2</f>
        <v>42.857142857142861</v>
      </c>
      <c r="AX4" s="422">
        <f>AU1/AX2</f>
        <v>60</v>
      </c>
      <c r="AY4" s="350">
        <f>AU1/AY2</f>
        <v>50</v>
      </c>
      <c r="AZ4" s="420">
        <f>AU1/AZ2</f>
        <v>37.974683544303794</v>
      </c>
      <c r="BA4" s="419">
        <f>AU1/BA2</f>
        <v>22.900763358778626</v>
      </c>
      <c r="BB4" s="350">
        <f>AU1/BB2</f>
        <v>14.285714285714285</v>
      </c>
      <c r="BC4" s="423">
        <f>AU1/BC2</f>
        <v>300</v>
      </c>
      <c r="BD4" s="350">
        <f>AU1/BD2</f>
        <v>720</v>
      </c>
      <c r="BE4" s="423">
        <f>AU1/BE2</f>
        <v>58.064516129032249</v>
      </c>
    </row>
    <row r="5" spans="1:57">
      <c r="A5" s="369" t="s">
        <v>9</v>
      </c>
      <c r="B5" s="365">
        <v>125.7427786166665</v>
      </c>
      <c r="C5" s="366">
        <v>30.349023141785832</v>
      </c>
      <c r="D5" s="354">
        <v>4906.7401441288685</v>
      </c>
      <c r="E5" s="342">
        <v>11.428881746866313</v>
      </c>
      <c r="F5" s="342">
        <v>384.84236424540143</v>
      </c>
      <c r="G5" s="342">
        <v>1784.2691433195885</v>
      </c>
      <c r="H5" s="342">
        <v>31.514606986305097</v>
      </c>
      <c r="I5" s="342">
        <v>1311.169007702764</v>
      </c>
      <c r="J5" s="342">
        <v>445.0211457131872</v>
      </c>
      <c r="K5" s="345"/>
      <c r="L5" s="345"/>
      <c r="M5" s="363">
        <v>1.4</v>
      </c>
      <c r="N5" s="363"/>
      <c r="O5" s="415"/>
      <c r="P5" s="415"/>
      <c r="Q5" s="368">
        <f t="shared" ref="Q5:Q24" si="1">(D5*0.714/0.65)/60</f>
        <v>89.831088792513128</v>
      </c>
      <c r="R5" s="368">
        <f t="shared" ref="R5:R24" si="2">(D5*0.2/0.65)/60</f>
        <v>25.162769969891635</v>
      </c>
      <c r="S5" s="368">
        <f>(B5*1/0.35)/60</f>
        <v>5.9877513626984049</v>
      </c>
      <c r="T5" s="368">
        <f>(B5*0.714/0.35)/60</f>
        <v>4.2752544729666608</v>
      </c>
      <c r="U5" s="368">
        <f t="shared" ref="U5:U24" si="3">(C5*1/0.35)/60</f>
        <v>1.4451915781802778</v>
      </c>
      <c r="V5" s="368">
        <f t="shared" ref="V5:V24" si="4">(C5*0.714/0.35)/60</f>
        <v>1.0318667868207183</v>
      </c>
      <c r="W5" s="368">
        <f t="shared" ref="W5:W24" si="5">(C5/0.714/0.35)/60</f>
        <v>2.0240778405886242</v>
      </c>
      <c r="X5" s="368">
        <f t="shared" ref="X5:X24" si="6">(I5*0.2/0.92)/60</f>
        <v>4.7506123467491452</v>
      </c>
      <c r="Y5" s="368">
        <f t="shared" ref="Y5:Y24" si="7">(I5*0.1/0.92)/60</f>
        <v>2.3753061733745726</v>
      </c>
      <c r="Z5" s="368"/>
      <c r="AA5" s="368">
        <f t="shared" ref="AA5:AA24" si="8">(J5*0.714/0.65)/60</f>
        <v>8.1473102061337332</v>
      </c>
      <c r="AB5" s="368">
        <f t="shared" ref="AB5:AB24" si="9">(J5*0.2/0.65)/60</f>
        <v>2.2821597216060878</v>
      </c>
      <c r="AC5" s="368"/>
      <c r="AD5" s="368">
        <f t="shared" si="0"/>
        <v>2.3810170305971483</v>
      </c>
      <c r="AE5" s="368">
        <f t="shared" ref="AE5:AE24" si="10">(E5*0.96774/0.4)/60</f>
        <v>0.4608410842380169</v>
      </c>
      <c r="AF5" s="368"/>
      <c r="AG5" s="368">
        <f t="shared" ref="AG5:AG24" si="11">(F5*0.714/0.65)/60</f>
        <v>7.0455755915696567</v>
      </c>
      <c r="AH5" s="368">
        <f t="shared" ref="AH5:AH24" si="12">(F5*0.2/0.65)/60</f>
        <v>1.9735505858738533</v>
      </c>
      <c r="AI5" s="368"/>
      <c r="AJ5" s="368">
        <f t="shared" ref="AJ5:AJ23" si="13">(G5*0.714/0.65)/60</f>
        <v>32.66585047000477</v>
      </c>
      <c r="AK5" s="368">
        <f t="shared" ref="AK5:AK23" si="14">(G5*0.2/0.65)/60</f>
        <v>9.1500981708696845</v>
      </c>
      <c r="AL5" s="368"/>
      <c r="AM5" s="368">
        <f t="shared" ref="AM5:AM24" si="15">(H5*1/0.65)/60</f>
        <v>0.80806684580269483</v>
      </c>
      <c r="AN5" s="368">
        <f t="shared" ref="AN5:AN24" si="16">(H5*0.714/0.65)/60</f>
        <v>0.57695972790312411</v>
      </c>
      <c r="AQ5" s="350" t="s">
        <v>421</v>
      </c>
      <c r="AT5" s="422">
        <f>AT4+4.2</f>
        <v>16.2</v>
      </c>
      <c r="AU5" s="351">
        <f t="shared" ref="AU5:BB5" si="17">AU4+4.2</f>
        <v>10.199999999999999</v>
      </c>
      <c r="AV5" s="351">
        <f t="shared" si="17"/>
        <v>7.2</v>
      </c>
      <c r="AW5" s="422">
        <f t="shared" si="17"/>
        <v>47.057142857142864</v>
      </c>
      <c r="AX5" s="422">
        <f t="shared" si="17"/>
        <v>64.2</v>
      </c>
      <c r="AY5" s="351">
        <f t="shared" si="17"/>
        <v>54.2</v>
      </c>
      <c r="AZ5" s="351">
        <f t="shared" si="17"/>
        <v>42.174683544303797</v>
      </c>
      <c r="BA5" s="351">
        <f t="shared" si="17"/>
        <v>27.100763358778625</v>
      </c>
      <c r="BB5" s="351">
        <f t="shared" si="17"/>
        <v>18.485714285714284</v>
      </c>
      <c r="BC5" s="422">
        <f>BC4+4.2</f>
        <v>304.2</v>
      </c>
      <c r="BD5" s="351">
        <f>BD4+4.2</f>
        <v>724.2</v>
      </c>
      <c r="BE5" s="422">
        <f>BE4+4.2</f>
        <v>62.264516129032252</v>
      </c>
    </row>
    <row r="6" spans="1:57">
      <c r="A6" s="369" t="s">
        <v>10</v>
      </c>
      <c r="B6" s="365">
        <v>126.75151426740189</v>
      </c>
      <c r="C6" s="366">
        <v>30.592489541565666</v>
      </c>
      <c r="D6" s="354">
        <v>4946.1030703082424</v>
      </c>
      <c r="E6" s="342">
        <v>11.52056669762797</v>
      </c>
      <c r="F6" s="342">
        <v>387.92965257319548</v>
      </c>
      <c r="G6" s="342">
        <v>1798.5829346575426</v>
      </c>
      <c r="H6" s="342">
        <v>31.767423950712363</v>
      </c>
      <c r="I6" s="342">
        <v>1321.6874878632925</v>
      </c>
      <c r="J6" s="342">
        <v>448.5912011863569</v>
      </c>
      <c r="K6" s="345"/>
      <c r="L6" s="345"/>
      <c r="M6" s="363">
        <v>1.4</v>
      </c>
      <c r="N6" s="363"/>
      <c r="O6" s="415"/>
      <c r="P6" s="415"/>
      <c r="Q6" s="368">
        <f t="shared" si="1"/>
        <v>90.551733133335517</v>
      </c>
      <c r="R6" s="368">
        <f t="shared" si="2"/>
        <v>25.36463112978586</v>
      </c>
      <c r="S6" s="368">
        <f t="shared" ref="S6:S24" si="18">(B6*1/0.35)/60</f>
        <v>6.0357863936858047</v>
      </c>
      <c r="T6" s="368">
        <f t="shared" ref="T6:T24" si="19">(B6*0.714/0.35)/60</f>
        <v>4.3095514850916645</v>
      </c>
      <c r="U6" s="368">
        <f t="shared" si="3"/>
        <v>1.4567852162650319</v>
      </c>
      <c r="V6" s="368">
        <f t="shared" si="4"/>
        <v>1.0401446444132325</v>
      </c>
      <c r="W6" s="368">
        <f t="shared" si="5"/>
        <v>2.0403154289426215</v>
      </c>
      <c r="X6" s="368">
        <f t="shared" si="6"/>
        <v>4.7887227821133784</v>
      </c>
      <c r="Y6" s="368">
        <f t="shared" si="7"/>
        <v>2.3943613910566892</v>
      </c>
      <c r="Z6" s="368"/>
      <c r="AA6" s="368">
        <f t="shared" si="8"/>
        <v>8.2126696832579178</v>
      </c>
      <c r="AB6" s="368">
        <f t="shared" si="9"/>
        <v>2.3004676983915737</v>
      </c>
      <c r="AC6" s="368"/>
      <c r="AD6" s="368">
        <f t="shared" si="0"/>
        <v>2.4001180620058267</v>
      </c>
      <c r="AE6" s="368">
        <f t="shared" si="10"/>
        <v>0.46453805066510384</v>
      </c>
      <c r="AF6" s="368"/>
      <c r="AG6" s="368">
        <f t="shared" si="11"/>
        <v>7.1020967163400401</v>
      </c>
      <c r="AH6" s="368">
        <f t="shared" si="12"/>
        <v>1.989382833708695</v>
      </c>
      <c r="AI6" s="368"/>
      <c r="AJ6" s="368">
        <f t="shared" si="13"/>
        <v>32.927902957576549</v>
      </c>
      <c r="AK6" s="368">
        <f t="shared" si="14"/>
        <v>9.2235022290130395</v>
      </c>
      <c r="AL6" s="368"/>
      <c r="AM6" s="368">
        <f t="shared" si="15"/>
        <v>0.81454933206954783</v>
      </c>
      <c r="AN6" s="368">
        <f t="shared" si="16"/>
        <v>0.58158822309765701</v>
      </c>
      <c r="AT6" s="422"/>
      <c r="AU6" s="351"/>
      <c r="AV6" s="351"/>
      <c r="AW6" s="422"/>
      <c r="AX6" s="422"/>
      <c r="BC6" s="423"/>
      <c r="BE6" s="423"/>
    </row>
    <row r="7" spans="1:57">
      <c r="A7" s="369" t="s">
        <v>11</v>
      </c>
      <c r="B7" s="365">
        <v>125.7427786166665</v>
      </c>
      <c r="C7" s="366">
        <v>30.349023141785832</v>
      </c>
      <c r="D7" s="354">
        <v>4906.7401441288685</v>
      </c>
      <c r="E7" s="342">
        <v>11.428881746866313</v>
      </c>
      <c r="F7" s="342">
        <v>384.84236424540143</v>
      </c>
      <c r="G7" s="342">
        <v>1784.2691433195885</v>
      </c>
      <c r="H7" s="342">
        <v>31.514606986305097</v>
      </c>
      <c r="I7" s="342">
        <v>1311.169007702764</v>
      </c>
      <c r="J7" s="342">
        <v>445.0211457131872</v>
      </c>
      <c r="K7" s="345"/>
      <c r="L7" s="345"/>
      <c r="M7" s="363">
        <v>1.4</v>
      </c>
      <c r="N7" s="363"/>
      <c r="O7" s="415"/>
      <c r="P7" s="415"/>
      <c r="Q7" s="368">
        <f t="shared" si="1"/>
        <v>89.831088792513128</v>
      </c>
      <c r="R7" s="368">
        <f t="shared" si="2"/>
        <v>25.162769969891635</v>
      </c>
      <c r="S7" s="368">
        <f t="shared" si="18"/>
        <v>5.9877513626984049</v>
      </c>
      <c r="T7" s="368">
        <f t="shared" si="19"/>
        <v>4.2752544729666608</v>
      </c>
      <c r="U7" s="368">
        <f t="shared" si="3"/>
        <v>1.4451915781802778</v>
      </c>
      <c r="V7" s="368">
        <f t="shared" si="4"/>
        <v>1.0318667868207183</v>
      </c>
      <c r="W7" s="368">
        <f t="shared" si="5"/>
        <v>2.0240778405886242</v>
      </c>
      <c r="X7" s="368">
        <f t="shared" si="6"/>
        <v>4.7506123467491452</v>
      </c>
      <c r="Y7" s="368">
        <f t="shared" si="7"/>
        <v>2.3753061733745726</v>
      </c>
      <c r="Z7" s="368"/>
      <c r="AA7" s="368">
        <f t="shared" si="8"/>
        <v>8.1473102061337332</v>
      </c>
      <c r="AB7" s="368">
        <f t="shared" si="9"/>
        <v>2.2821597216060878</v>
      </c>
      <c r="AC7" s="368"/>
      <c r="AD7" s="368">
        <f t="shared" si="0"/>
        <v>2.3810170305971483</v>
      </c>
      <c r="AE7" s="368">
        <f t="shared" si="10"/>
        <v>0.4608410842380169</v>
      </c>
      <c r="AF7" s="368"/>
      <c r="AG7" s="368">
        <f t="shared" si="11"/>
        <v>7.0455755915696567</v>
      </c>
      <c r="AH7" s="368">
        <f t="shared" si="12"/>
        <v>1.9735505858738533</v>
      </c>
      <c r="AI7" s="368"/>
      <c r="AJ7" s="368">
        <f t="shared" si="13"/>
        <v>32.66585047000477</v>
      </c>
      <c r="AK7" s="368">
        <f t="shared" si="14"/>
        <v>9.1500981708696845</v>
      </c>
      <c r="AL7" s="368"/>
      <c r="AM7" s="368">
        <f t="shared" si="15"/>
        <v>0.80806684580269483</v>
      </c>
      <c r="AN7" s="368">
        <f t="shared" si="16"/>
        <v>0.57695972790312411</v>
      </c>
      <c r="AT7" s="423"/>
      <c r="AW7" s="423"/>
      <c r="AX7" s="423"/>
      <c r="BC7" s="423"/>
      <c r="BE7" s="423"/>
    </row>
    <row r="8" spans="1:57">
      <c r="A8" s="369" t="s">
        <v>12</v>
      </c>
      <c r="B8" s="365">
        <v>179.16697058061274</v>
      </c>
      <c r="C8" s="366">
        <v>43.243378237817645</v>
      </c>
      <c r="D8" s="354">
        <v>6991.4612729364753</v>
      </c>
      <c r="E8" s="342">
        <v>16.28465779297397</v>
      </c>
      <c r="F8" s="342">
        <v>548.34990375972359</v>
      </c>
      <c r="G8" s="342">
        <v>2542.3495537950816</v>
      </c>
      <c r="H8" s="342">
        <v>44.904182370489643</v>
      </c>
      <c r="I8" s="342">
        <v>1868.2438992815073</v>
      </c>
      <c r="J8" s="342">
        <v>634.09677596528809</v>
      </c>
      <c r="K8" s="345"/>
      <c r="L8" s="345"/>
      <c r="M8" s="363">
        <v>1.4</v>
      </c>
      <c r="N8" s="363"/>
      <c r="O8" s="415"/>
      <c r="P8" s="415"/>
      <c r="Q8" s="368">
        <f t="shared" si="1"/>
        <v>127.99752176606778</v>
      </c>
      <c r="R8" s="368">
        <f t="shared" si="2"/>
        <v>35.853647553520389</v>
      </c>
      <c r="S8" s="368">
        <f t="shared" si="18"/>
        <v>8.5317605038387025</v>
      </c>
      <c r="T8" s="368">
        <f t="shared" si="19"/>
        <v>6.0916769997408329</v>
      </c>
      <c r="U8" s="368">
        <f t="shared" si="3"/>
        <v>2.059208487515126</v>
      </c>
      <c r="V8" s="368">
        <f t="shared" si="4"/>
        <v>1.4702748600858</v>
      </c>
      <c r="W8" s="368">
        <f t="shared" si="5"/>
        <v>2.8840455007214651</v>
      </c>
      <c r="X8" s="368">
        <f t="shared" si="6"/>
        <v>6.7689996350779245</v>
      </c>
      <c r="Y8" s="368">
        <f t="shared" si="7"/>
        <v>3.3844998175389622</v>
      </c>
      <c r="Z8" s="368"/>
      <c r="AA8" s="368">
        <f t="shared" si="8"/>
        <v>11.608848667672197</v>
      </c>
      <c r="AB8" s="368">
        <f t="shared" si="9"/>
        <v>3.2517783382835286</v>
      </c>
      <c r="AC8" s="368"/>
      <c r="AD8" s="368">
        <f t="shared" si="0"/>
        <v>3.3926370402029105</v>
      </c>
      <c r="AE8" s="368">
        <f t="shared" si="10"/>
        <v>0.65663811385719284</v>
      </c>
      <c r="AF8" s="368"/>
      <c r="AG8" s="368">
        <f t="shared" si="11"/>
        <v>10.039021314985709</v>
      </c>
      <c r="AH8" s="368">
        <f t="shared" si="12"/>
        <v>2.8120507885114026</v>
      </c>
      <c r="AI8" s="368"/>
      <c r="AJ8" s="368">
        <f t="shared" si="13"/>
        <v>46.544553369479182</v>
      </c>
      <c r="AK8" s="368">
        <f t="shared" si="14"/>
        <v>13.037690019461957</v>
      </c>
      <c r="AL8" s="368"/>
      <c r="AM8" s="368">
        <f t="shared" si="15"/>
        <v>1.1513892915510164</v>
      </c>
      <c r="AN8" s="368">
        <f t="shared" si="16"/>
        <v>0.82209195416742575</v>
      </c>
      <c r="AT8" s="423"/>
      <c r="AW8" s="423"/>
      <c r="AX8" s="423"/>
      <c r="BC8" s="423"/>
      <c r="BE8" s="423"/>
    </row>
    <row r="9" spans="1:57">
      <c r="A9" s="369" t="s">
        <v>13</v>
      </c>
      <c r="B9" s="365">
        <v>401.74837166787466</v>
      </c>
      <c r="C9" s="366">
        <v>96.96517575846724</v>
      </c>
      <c r="D9" s="354">
        <v>15677.04233028523</v>
      </c>
      <c r="E9" s="342">
        <v>36.515294812959176</v>
      </c>
      <c r="F9" s="342">
        <v>1229.5719474733514</v>
      </c>
      <c r="G9" s="342">
        <v>5700.7426655582658</v>
      </c>
      <c r="H9" s="342">
        <v>100.68921793989179</v>
      </c>
      <c r="I9" s="342">
        <v>4189.1870023949778</v>
      </c>
      <c r="J9" s="342">
        <v>1421.8432471027627</v>
      </c>
      <c r="K9" s="345"/>
      <c r="L9" s="345"/>
      <c r="M9" s="363">
        <v>1.4</v>
      </c>
      <c r="N9" s="363"/>
      <c r="O9" s="415"/>
      <c r="P9" s="415"/>
      <c r="Q9" s="368">
        <f t="shared" si="1"/>
        <v>287.01046727752959</v>
      </c>
      <c r="R9" s="368">
        <f t="shared" si="2"/>
        <v>80.395088873257592</v>
      </c>
      <c r="S9" s="368">
        <f t="shared" si="18"/>
        <v>19.130874841327365</v>
      </c>
      <c r="T9" s="368">
        <f t="shared" si="19"/>
        <v>13.65944463670774</v>
      </c>
      <c r="U9" s="368">
        <f t="shared" si="3"/>
        <v>4.6173893218317739</v>
      </c>
      <c r="V9" s="368">
        <f t="shared" si="4"/>
        <v>3.2968159757878865</v>
      </c>
      <c r="W9" s="368">
        <f t="shared" si="5"/>
        <v>6.4669318232938009</v>
      </c>
      <c r="X9" s="368">
        <f t="shared" si="6"/>
        <v>15.178213776793399</v>
      </c>
      <c r="Y9" s="368">
        <f t="shared" si="7"/>
        <v>7.5891068883966994</v>
      </c>
      <c r="Z9" s="368"/>
      <c r="AA9" s="368">
        <f t="shared" si="8"/>
        <v>26.030668677727498</v>
      </c>
      <c r="AB9" s="368">
        <f t="shared" si="9"/>
        <v>7.2915038312962199</v>
      </c>
      <c r="AC9" s="368"/>
      <c r="AD9" s="368">
        <f t="shared" si="0"/>
        <v>7.6073530860331617</v>
      </c>
      <c r="AE9" s="368">
        <f t="shared" si="10"/>
        <v>1.4723879750955464</v>
      </c>
      <c r="AF9" s="368"/>
      <c r="AG9" s="368">
        <f t="shared" si="11"/>
        <v>22.510624884512126</v>
      </c>
      <c r="AH9" s="368">
        <f t="shared" si="12"/>
        <v>6.3054971665300075</v>
      </c>
      <c r="AI9" s="368"/>
      <c r="AJ9" s="368">
        <f t="shared" si="13"/>
        <v>104.3674426463744</v>
      </c>
      <c r="AK9" s="368">
        <f t="shared" si="14"/>
        <v>29.234577772093669</v>
      </c>
      <c r="AL9" s="368"/>
      <c r="AM9" s="368">
        <f t="shared" si="15"/>
        <v>2.5817748189715841</v>
      </c>
      <c r="AN9" s="368">
        <f t="shared" si="16"/>
        <v>1.8433872207457109</v>
      </c>
      <c r="AT9" s="423"/>
      <c r="AW9" s="423"/>
      <c r="AX9" s="423"/>
      <c r="BC9" s="423"/>
      <c r="BE9" s="423"/>
    </row>
    <row r="10" spans="1:57">
      <c r="A10" s="369" t="s">
        <v>14</v>
      </c>
      <c r="B10" s="365">
        <v>128.76898556887261</v>
      </c>
      <c r="C10" s="366">
        <v>31.079422341125323</v>
      </c>
      <c r="D10" s="354">
        <v>5024.8289226669895</v>
      </c>
      <c r="E10" s="342">
        <v>11.703936599151278</v>
      </c>
      <c r="F10" s="342">
        <v>394.10422922878348</v>
      </c>
      <c r="G10" s="342">
        <v>1827.2105173334505</v>
      </c>
      <c r="H10" s="342">
        <v>32.273057879526881</v>
      </c>
      <c r="I10" s="342">
        <v>1342.7244481843486</v>
      </c>
      <c r="J10" s="342">
        <v>455.73131213269625</v>
      </c>
      <c r="K10" s="345"/>
      <c r="L10" s="345"/>
      <c r="M10" s="363">
        <v>1.4</v>
      </c>
      <c r="N10" s="363"/>
      <c r="O10" s="415"/>
      <c r="P10" s="415">
        <f>567</f>
        <v>567</v>
      </c>
      <c r="Q10" s="368">
        <f t="shared" si="1"/>
        <v>91.993021814980253</v>
      </c>
      <c r="R10" s="368">
        <f t="shared" si="2"/>
        <v>25.768353449574306</v>
      </c>
      <c r="S10" s="368">
        <f t="shared" si="18"/>
        <v>6.1318564556606008</v>
      </c>
      <c r="T10" s="368">
        <f t="shared" si="19"/>
        <v>4.3781455093416684</v>
      </c>
      <c r="U10" s="368">
        <f t="shared" si="3"/>
        <v>1.4799724924345392</v>
      </c>
      <c r="V10" s="368">
        <f t="shared" si="4"/>
        <v>1.0567003595982611</v>
      </c>
      <c r="W10" s="368">
        <f t="shared" si="5"/>
        <v>2.0727906056506153</v>
      </c>
      <c r="X10" s="368">
        <f t="shared" si="6"/>
        <v>4.864943652841843</v>
      </c>
      <c r="Y10" s="368">
        <f t="shared" si="7"/>
        <v>2.4324718264209215</v>
      </c>
      <c r="Z10" s="368"/>
      <c r="AA10" s="368">
        <f t="shared" si="8"/>
        <v>8.3433886375062833</v>
      </c>
      <c r="AB10" s="368">
        <f t="shared" si="9"/>
        <v>2.3370836519625446</v>
      </c>
      <c r="AC10" s="368"/>
      <c r="AD10" s="368">
        <f t="shared" si="0"/>
        <v>2.4383201248231829</v>
      </c>
      <c r="AE10" s="368">
        <f t="shared" si="10"/>
        <v>0.4719319835192774</v>
      </c>
      <c r="AF10" s="368"/>
      <c r="AG10" s="368">
        <f t="shared" si="11"/>
        <v>7.2151389658808052</v>
      </c>
      <c r="AH10" s="368">
        <f t="shared" si="12"/>
        <v>2.0210473293783773</v>
      </c>
      <c r="AI10" s="368"/>
      <c r="AJ10" s="368">
        <f t="shared" si="13"/>
        <v>33.452007932720086</v>
      </c>
      <c r="AK10" s="368">
        <f t="shared" si="14"/>
        <v>9.370310345299746</v>
      </c>
      <c r="AL10" s="368"/>
      <c r="AM10" s="368">
        <f t="shared" si="15"/>
        <v>0.82751430460325337</v>
      </c>
      <c r="AN10" s="368">
        <f t="shared" si="16"/>
        <v>0.59084521348672292</v>
      </c>
      <c r="AT10" s="423"/>
      <c r="AW10" s="423"/>
      <c r="AX10" s="423"/>
      <c r="BC10" s="423"/>
      <c r="BE10" s="423"/>
    </row>
    <row r="11" spans="1:57">
      <c r="A11" s="371" t="s">
        <v>4</v>
      </c>
      <c r="B11" s="365">
        <v>112.16364485676732</v>
      </c>
      <c r="C11" s="366">
        <v>27.071590837057343</v>
      </c>
      <c r="D11" s="354">
        <v>4376.8545994065289</v>
      </c>
      <c r="E11" s="342">
        <v>10.194661255844034</v>
      </c>
      <c r="F11" s="342">
        <v>343.28271367894342</v>
      </c>
      <c r="G11" s="342">
        <v>1591.5834906932832</v>
      </c>
      <c r="H11" s="342">
        <v>28.111301696207356</v>
      </c>
      <c r="I11" s="342">
        <v>1169.5740824648847</v>
      </c>
      <c r="J11" s="342">
        <v>396.96270665128799</v>
      </c>
      <c r="K11" s="345"/>
      <c r="L11" s="345"/>
      <c r="M11" s="363">
        <v>1.4</v>
      </c>
      <c r="N11" s="363"/>
      <c r="O11" s="415"/>
      <c r="P11" s="415">
        <f>P10/20</f>
        <v>28.35</v>
      </c>
      <c r="Q11" s="368">
        <f t="shared" si="1"/>
        <v>80.130107281442605</v>
      </c>
      <c r="R11" s="368">
        <f t="shared" si="2"/>
        <v>22.445408202084764</v>
      </c>
      <c r="S11" s="368">
        <f t="shared" si="18"/>
        <v>5.341125945560349</v>
      </c>
      <c r="T11" s="368">
        <f t="shared" si="19"/>
        <v>3.8135639251300888</v>
      </c>
      <c r="U11" s="368">
        <f t="shared" si="3"/>
        <v>1.2891233731932068</v>
      </c>
      <c r="V11" s="368">
        <f t="shared" si="4"/>
        <v>0.92043408845994956</v>
      </c>
      <c r="W11" s="368">
        <f t="shared" si="5"/>
        <v>1.8054949204386652</v>
      </c>
      <c r="X11" s="368">
        <f t="shared" si="6"/>
        <v>4.2375872553075533</v>
      </c>
      <c r="Y11" s="368">
        <f t="shared" si="7"/>
        <v>2.1187936276537767</v>
      </c>
      <c r="Z11" s="368"/>
      <c r="AA11" s="368">
        <f t="shared" si="8"/>
        <v>7.2674710910005027</v>
      </c>
      <c r="AB11" s="368">
        <f t="shared" si="9"/>
        <v>2.0357061879553231</v>
      </c>
      <c r="AC11" s="368"/>
      <c r="AD11" s="368">
        <f t="shared" si="0"/>
        <v>2.1238877616341738</v>
      </c>
      <c r="AE11" s="368">
        <f t="shared" si="10"/>
        <v>0.41107422848877107</v>
      </c>
      <c r="AF11" s="368"/>
      <c r="AG11" s="368">
        <f t="shared" si="11"/>
        <v>6.2847142965837328</v>
      </c>
      <c r="AH11" s="368">
        <f t="shared" si="12"/>
        <v>1.7604241727125305</v>
      </c>
      <c r="AI11" s="368"/>
      <c r="AJ11" s="368">
        <f t="shared" si="13"/>
        <v>29.138220829615488</v>
      </c>
      <c r="AK11" s="368">
        <f t="shared" si="14"/>
        <v>8.161966618939914</v>
      </c>
      <c r="AL11" s="368"/>
      <c r="AM11" s="368">
        <f t="shared" si="15"/>
        <v>0.72080260759506032</v>
      </c>
      <c r="AN11" s="368">
        <f t="shared" si="16"/>
        <v>0.51465306182287307</v>
      </c>
      <c r="AQ11" s="350" t="s">
        <v>420</v>
      </c>
      <c r="AR11" s="350">
        <f>AR4/60</f>
        <v>0.5</v>
      </c>
      <c r="AS11" s="350">
        <f>AS4/60</f>
        <v>0.12048192771084336</v>
      </c>
      <c r="AT11" s="425">
        <f>AT4/60</f>
        <v>0.2</v>
      </c>
      <c r="AU11" s="351">
        <f>AU4/AU1</f>
        <v>0.1</v>
      </c>
      <c r="AV11" s="414">
        <f>AV4/AU1</f>
        <v>0.05</v>
      </c>
      <c r="AW11" s="424">
        <f>AW4/AU1</f>
        <v>0.7142857142857143</v>
      </c>
      <c r="AX11" s="424">
        <f>AX4/AU1</f>
        <v>1</v>
      </c>
      <c r="AY11" s="414">
        <f>AY4/AU1</f>
        <v>0.83333333333333337</v>
      </c>
      <c r="AZ11" s="414">
        <f>AZ4/AU1</f>
        <v>0.63291139240506322</v>
      </c>
      <c r="BA11" s="350">
        <f>BA4/AU1</f>
        <v>0.38167938931297712</v>
      </c>
      <c r="BB11" s="350">
        <f>BB4/AU1</f>
        <v>0.23809523809523808</v>
      </c>
      <c r="BC11" s="423">
        <f>BC4/AU1</f>
        <v>5</v>
      </c>
      <c r="BD11" s="350">
        <f>BD4/AU1</f>
        <v>12</v>
      </c>
      <c r="BE11" s="423">
        <f>BE4/AU1</f>
        <v>0.96774193548387077</v>
      </c>
    </row>
    <row r="12" spans="1:57">
      <c r="A12" s="371" t="s">
        <v>5</v>
      </c>
      <c r="B12" s="365">
        <v>171.91183340032379</v>
      </c>
      <c r="C12" s="372">
        <v>41.492292977862711</v>
      </c>
      <c r="D12" s="354">
        <v>6708.3509961848249</v>
      </c>
      <c r="E12" s="373">
        <v>15.625231416342068</v>
      </c>
      <c r="F12" s="373">
        <v>526.1451761713588</v>
      </c>
      <c r="G12" s="373">
        <v>2439.4003622490272</v>
      </c>
      <c r="H12" s="373">
        <v>43.085844972637432</v>
      </c>
      <c r="I12" s="373">
        <v>1792.5917535115545</v>
      </c>
      <c r="J12" s="373">
        <v>608.41983852364478</v>
      </c>
      <c r="K12" s="374"/>
      <c r="L12" s="374"/>
      <c r="M12" s="363">
        <v>1.4</v>
      </c>
      <c r="N12" s="363"/>
      <c r="O12" s="415"/>
      <c r="P12" s="415">
        <f>500/60</f>
        <v>8.3333333333333339</v>
      </c>
      <c r="Q12" s="368">
        <f t="shared" si="1"/>
        <v>122.81442593015294</v>
      </c>
      <c r="R12" s="368">
        <f t="shared" si="2"/>
        <v>34.401799980435001</v>
      </c>
      <c r="S12" s="368">
        <f t="shared" si="18"/>
        <v>8.1862777809678011</v>
      </c>
      <c r="T12" s="368">
        <f t="shared" si="19"/>
        <v>5.8450023356110092</v>
      </c>
      <c r="U12" s="368">
        <f t="shared" si="3"/>
        <v>1.9758234751363197</v>
      </c>
      <c r="V12" s="368">
        <f t="shared" si="4"/>
        <v>1.4107379612473323</v>
      </c>
      <c r="W12" s="368">
        <f t="shared" si="5"/>
        <v>2.7672597690984873</v>
      </c>
      <c r="X12" s="368">
        <f t="shared" si="6"/>
        <v>6.4948976576505597</v>
      </c>
      <c r="Y12" s="368">
        <f t="shared" si="7"/>
        <v>3.2474488288252799</v>
      </c>
      <c r="Z12" s="368"/>
      <c r="AA12" s="368">
        <f t="shared" si="8"/>
        <v>11.138763197586728</v>
      </c>
      <c r="AB12" s="368">
        <f t="shared" si="9"/>
        <v>3.1201017360186909</v>
      </c>
      <c r="AC12" s="368"/>
      <c r="AD12" s="368">
        <f t="shared" si="0"/>
        <v>3.2552565450712643</v>
      </c>
      <c r="AE12" s="368">
        <f t="shared" si="10"/>
        <v>0.63004839378545296</v>
      </c>
      <c r="AF12" s="368"/>
      <c r="AG12" s="368">
        <f t="shared" si="11"/>
        <v>9.6325039945217998</v>
      </c>
      <c r="AH12" s="368">
        <f t="shared" si="12"/>
        <v>2.6981803906223529</v>
      </c>
      <c r="AI12" s="368"/>
      <c r="AJ12" s="368">
        <f t="shared" si="13"/>
        <v>44.659791247328343</v>
      </c>
      <c r="AK12" s="368">
        <f t="shared" si="14"/>
        <v>12.509745447430909</v>
      </c>
      <c r="AL12" s="368"/>
      <c r="AM12" s="368">
        <f t="shared" si="15"/>
        <v>1.104765255708652</v>
      </c>
      <c r="AN12" s="368">
        <f t="shared" si="16"/>
        <v>0.78880239257597762</v>
      </c>
      <c r="AP12" s="350" t="s">
        <v>423</v>
      </c>
      <c r="AT12" s="426">
        <f>AT5/60</f>
        <v>0.26999999999999996</v>
      </c>
      <c r="AU12" s="416">
        <f t="shared" ref="AU12:BB12" si="20">AU5/60</f>
        <v>0.16999999999999998</v>
      </c>
      <c r="AV12" s="416">
        <f t="shared" ref="AV12" si="21">AV5/60</f>
        <v>0.12000000000000001</v>
      </c>
      <c r="AW12" s="426">
        <f>AW5/60</f>
        <v>0.78428571428571436</v>
      </c>
      <c r="AX12" s="426">
        <f t="shared" ref="AX12" si="22">AX5/60</f>
        <v>1.07</v>
      </c>
      <c r="AY12" s="414">
        <f t="shared" si="20"/>
        <v>0.90333333333333343</v>
      </c>
      <c r="AZ12" s="351">
        <f t="shared" si="20"/>
        <v>0.70291139240506328</v>
      </c>
      <c r="BA12" s="414">
        <f t="shared" si="20"/>
        <v>0.45167938931297708</v>
      </c>
      <c r="BB12" s="351">
        <f t="shared" si="20"/>
        <v>0.30809523809523809</v>
      </c>
      <c r="BC12" s="422">
        <f>BC5/60</f>
        <v>5.0699999999999994</v>
      </c>
      <c r="BD12" s="351">
        <f t="shared" ref="BD12" si="23">BD5/60</f>
        <v>12.07</v>
      </c>
      <c r="BE12" s="424">
        <f t="shared" ref="BE12" si="24">BE5/60</f>
        <v>1.0377419354838708</v>
      </c>
    </row>
    <row r="13" spans="1:57">
      <c r="A13" s="375" t="s">
        <v>6</v>
      </c>
      <c r="B13" s="365">
        <v>124.69524544090287</v>
      </c>
      <c r="C13" s="372">
        <v>30.096192649706779</v>
      </c>
      <c r="D13" s="354">
        <v>4865.8632592502881</v>
      </c>
      <c r="E13" s="373">
        <v>11.333670451844597</v>
      </c>
      <c r="F13" s="373">
        <v>381.6363340588461</v>
      </c>
      <c r="G13" s="373">
        <v>1769.4048215455591</v>
      </c>
      <c r="H13" s="373">
        <v>31.25206629249756</v>
      </c>
      <c r="I13" s="373">
        <v>1300.2459706129848</v>
      </c>
      <c r="J13" s="373">
        <v>441.31378041412648</v>
      </c>
      <c r="K13" s="376"/>
      <c r="L13" s="374"/>
      <c r="M13" s="363">
        <v>1.4</v>
      </c>
      <c r="N13" s="363"/>
      <c r="O13" s="415"/>
      <c r="P13" s="415">
        <f>8.33*60</f>
        <v>499.8</v>
      </c>
      <c r="Q13" s="368">
        <f t="shared" si="1"/>
        <v>89.082727361659124</v>
      </c>
      <c r="R13" s="368">
        <f t="shared" si="2"/>
        <v>24.953144919232251</v>
      </c>
      <c r="S13" s="368">
        <f t="shared" si="18"/>
        <v>5.937868830519184</v>
      </c>
      <c r="T13" s="368">
        <f t="shared" si="19"/>
        <v>4.2396383449906976</v>
      </c>
      <c r="U13" s="368">
        <f t="shared" si="3"/>
        <v>1.4331520309384183</v>
      </c>
      <c r="V13" s="368">
        <f t="shared" si="4"/>
        <v>1.0232705500900305</v>
      </c>
      <c r="W13" s="368">
        <f t="shared" si="5"/>
        <v>2.0072157296056274</v>
      </c>
      <c r="X13" s="368">
        <f t="shared" si="6"/>
        <v>4.7110361254093656</v>
      </c>
      <c r="Y13" s="368">
        <f t="shared" si="7"/>
        <v>2.3555180627046828</v>
      </c>
      <c r="Z13" s="368"/>
      <c r="AA13" s="368">
        <f t="shared" si="8"/>
        <v>8.0794369029663144</v>
      </c>
      <c r="AB13" s="368">
        <f t="shared" si="9"/>
        <v>2.2631475918673156</v>
      </c>
      <c r="AC13" s="368"/>
      <c r="AD13" s="368">
        <f t="shared" si="0"/>
        <v>2.3611813441342906</v>
      </c>
      <c r="AE13" s="368">
        <f t="shared" si="10"/>
        <v>0.45700192679450374</v>
      </c>
      <c r="AF13" s="368"/>
      <c r="AG13" s="368">
        <f t="shared" si="11"/>
        <v>6.986880577385028</v>
      </c>
      <c r="AH13" s="368">
        <f t="shared" si="12"/>
        <v>1.9571094054299798</v>
      </c>
      <c r="AI13" s="368"/>
      <c r="AJ13" s="368">
        <f t="shared" si="13"/>
        <v>32.393719040603315</v>
      </c>
      <c r="AK13" s="368">
        <f t="shared" si="14"/>
        <v>9.0738708797208165</v>
      </c>
      <c r="AL13" s="368"/>
      <c r="AM13" s="368">
        <f t="shared" si="15"/>
        <v>0.8013350331409631</v>
      </c>
      <c r="AN13" s="368">
        <f t="shared" si="16"/>
        <v>0.57215321366264749</v>
      </c>
      <c r="AS13" s="351"/>
      <c r="AT13" s="351"/>
      <c r="AU13" s="351"/>
      <c r="AV13" s="351"/>
      <c r="AW13" s="351"/>
    </row>
    <row r="14" spans="1:57">
      <c r="A14" s="375" t="s">
        <v>7</v>
      </c>
      <c r="B14" s="365">
        <v>90.010258065617492</v>
      </c>
      <c r="C14" s="372">
        <v>21.724694134200288</v>
      </c>
      <c r="D14" s="354">
        <v>3512.3841821595106</v>
      </c>
      <c r="E14" s="373">
        <v>8.1811186833476857</v>
      </c>
      <c r="F14" s="373">
        <v>275.48111232623614</v>
      </c>
      <c r="G14" s="373">
        <v>1277.2306116943676</v>
      </c>
      <c r="H14" s="373">
        <v>22.559052208647895</v>
      </c>
      <c r="I14" s="373">
        <v>938.57207586251559</v>
      </c>
      <c r="J14" s="373">
        <v>318.55879606744662</v>
      </c>
      <c r="K14" s="374"/>
      <c r="L14" s="374"/>
      <c r="M14" s="363">
        <v>1.4</v>
      </c>
      <c r="N14" s="363"/>
      <c r="O14" s="415"/>
      <c r="P14" s="415">
        <f>P10/4.2</f>
        <v>135</v>
      </c>
      <c r="Q14" s="368">
        <f t="shared" si="1"/>
        <v>64.303648873381817</v>
      </c>
      <c r="R14" s="368">
        <f t="shared" si="2"/>
        <v>18.012226575176975</v>
      </c>
      <c r="S14" s="368">
        <f t="shared" si="18"/>
        <v>4.2862027650294046</v>
      </c>
      <c r="T14" s="368">
        <f t="shared" si="19"/>
        <v>3.0603487742309952</v>
      </c>
      <c r="U14" s="368">
        <f t="shared" si="3"/>
        <v>1.034509244485728</v>
      </c>
      <c r="V14" s="368">
        <f t="shared" si="4"/>
        <v>0.73863960056280975</v>
      </c>
      <c r="W14" s="368">
        <f t="shared" si="5"/>
        <v>1.4488924992797314</v>
      </c>
      <c r="X14" s="368">
        <f t="shared" si="6"/>
        <v>3.4006234632699841</v>
      </c>
      <c r="Y14" s="368">
        <f t="shared" si="7"/>
        <v>1.7003117316349921</v>
      </c>
      <c r="Z14" s="368"/>
      <c r="AA14" s="368">
        <f t="shared" si="8"/>
        <v>5.8320764203117141</v>
      </c>
      <c r="AB14" s="368">
        <f t="shared" si="9"/>
        <v>1.6336348516279315</v>
      </c>
      <c r="AC14" s="368"/>
      <c r="AD14" s="368">
        <f t="shared" si="0"/>
        <v>1.7043997256974344</v>
      </c>
      <c r="AE14" s="368">
        <f t="shared" si="10"/>
        <v>0.32988315810928703</v>
      </c>
      <c r="AF14" s="368"/>
      <c r="AG14" s="368">
        <f t="shared" si="11"/>
        <v>5.043423441049554</v>
      </c>
      <c r="AH14" s="368">
        <f t="shared" si="12"/>
        <v>1.4127236529550573</v>
      </c>
      <c r="AI14" s="368"/>
      <c r="AJ14" s="368">
        <f t="shared" si="13"/>
        <v>23.383145044866112</v>
      </c>
      <c r="AK14" s="368">
        <f t="shared" si="14"/>
        <v>6.5499005727916284</v>
      </c>
      <c r="AL14" s="368"/>
      <c r="AM14" s="368">
        <f t="shared" si="15"/>
        <v>0.57843723611917675</v>
      </c>
      <c r="AN14" s="368">
        <f t="shared" si="16"/>
        <v>0.41300418658909221</v>
      </c>
      <c r="AS14" s="351"/>
      <c r="AT14" s="351"/>
      <c r="AU14" s="351"/>
      <c r="AV14" s="351" t="s">
        <v>422</v>
      </c>
      <c r="AW14" s="351"/>
    </row>
    <row r="15" spans="1:57">
      <c r="A15" s="375" t="s">
        <v>8</v>
      </c>
      <c r="B15" s="365">
        <v>174.66645767733189</v>
      </c>
      <c r="C15" s="366">
        <v>42.157143531107629</v>
      </c>
      <c r="D15" s="354">
        <v>6815.8420638284997</v>
      </c>
      <c r="E15" s="342">
        <v>15.87560185880659</v>
      </c>
      <c r="F15" s="342">
        <v>534.57584814341169</v>
      </c>
      <c r="G15" s="342">
        <v>2478.4880232103633</v>
      </c>
      <c r="H15" s="342">
        <v>43.776229760057248</v>
      </c>
      <c r="I15" s="342">
        <v>1821.3152954883815</v>
      </c>
      <c r="J15" s="342">
        <v>618.16883616191581</v>
      </c>
      <c r="K15" s="345"/>
      <c r="L15" s="345"/>
      <c r="M15" s="363">
        <v>1.4</v>
      </c>
      <c r="N15" s="363"/>
      <c r="O15" s="415"/>
      <c r="P15" s="415">
        <f>(863*0.2/0.7)/60</f>
        <v>4.10952380952381</v>
      </c>
      <c r="Q15" s="368">
        <f t="shared" si="1"/>
        <v>124.78233932239867</v>
      </c>
      <c r="R15" s="368">
        <f t="shared" si="2"/>
        <v>34.953036224761533</v>
      </c>
      <c r="S15" s="368">
        <f t="shared" si="18"/>
        <v>8.3174503655872325</v>
      </c>
      <c r="T15" s="368">
        <f t="shared" si="19"/>
        <v>5.9386595610292847</v>
      </c>
      <c r="U15" s="368">
        <f t="shared" si="3"/>
        <v>2.0074830252908398</v>
      </c>
      <c r="V15" s="368">
        <f t="shared" si="4"/>
        <v>1.4333428800576593</v>
      </c>
      <c r="W15" s="368">
        <f t="shared" si="5"/>
        <v>2.8116008757574784</v>
      </c>
      <c r="X15" s="368">
        <f t="shared" si="6"/>
        <v>6.598968461914426</v>
      </c>
      <c r="Y15" s="368">
        <f t="shared" si="7"/>
        <v>3.299484230957213</v>
      </c>
      <c r="Z15" s="368"/>
      <c r="AA15" s="368">
        <f t="shared" si="8"/>
        <v>11.317244846656612</v>
      </c>
      <c r="AB15" s="368">
        <f t="shared" si="9"/>
        <v>3.1700965957021325</v>
      </c>
      <c r="AC15" s="368"/>
      <c r="AD15" s="368">
        <f t="shared" si="0"/>
        <v>3.3074170539180394</v>
      </c>
      <c r="AE15" s="368">
        <f t="shared" si="10"/>
        <v>0.64014395595172868</v>
      </c>
      <c r="AF15" s="368"/>
      <c r="AG15" s="368">
        <f t="shared" si="11"/>
        <v>9.7868501429332291</v>
      </c>
      <c r="AH15" s="368">
        <f t="shared" si="12"/>
        <v>2.7414146058636502</v>
      </c>
      <c r="AI15" s="368"/>
      <c r="AJ15" s="368">
        <f t="shared" si="13"/>
        <v>45.375396117235873</v>
      </c>
      <c r="AK15" s="368">
        <f t="shared" si="14"/>
        <v>12.710194990822377</v>
      </c>
      <c r="AL15" s="368"/>
      <c r="AM15" s="368">
        <f t="shared" si="15"/>
        <v>1.1224674297450576</v>
      </c>
      <c r="AN15" s="368">
        <f t="shared" si="16"/>
        <v>0.80144174483797115</v>
      </c>
      <c r="AS15" s="351"/>
      <c r="AT15" s="351"/>
      <c r="AU15" s="351"/>
      <c r="AV15" s="351"/>
      <c r="AW15" s="351"/>
    </row>
    <row r="16" spans="1:57">
      <c r="A16" s="369" t="s">
        <v>15</v>
      </c>
      <c r="B16" s="365">
        <v>128.76898556887261</v>
      </c>
      <c r="C16" s="366">
        <v>31.079422341125323</v>
      </c>
      <c r="D16" s="354">
        <v>5024.8289226669895</v>
      </c>
      <c r="E16" s="342">
        <v>11.703936599151278</v>
      </c>
      <c r="F16" s="342">
        <v>394.10422922878348</v>
      </c>
      <c r="G16" s="342">
        <v>1827.2105173334505</v>
      </c>
      <c r="H16" s="342">
        <v>32.273057879526881</v>
      </c>
      <c r="I16" s="342">
        <v>1342.7244481843486</v>
      </c>
      <c r="J16" s="342">
        <v>455.73131213269625</v>
      </c>
      <c r="K16" s="345"/>
      <c r="L16" s="345"/>
      <c r="M16" s="363">
        <v>1.4</v>
      </c>
      <c r="N16" s="363"/>
      <c r="O16" s="415"/>
      <c r="P16" s="415">
        <f>(711*0.2/0.92)/60</f>
        <v>2.5760869565217397</v>
      </c>
      <c r="Q16" s="368">
        <f t="shared" si="1"/>
        <v>91.993021814980253</v>
      </c>
      <c r="R16" s="368">
        <f t="shared" si="2"/>
        <v>25.768353449574306</v>
      </c>
      <c r="S16" s="368">
        <f t="shared" si="18"/>
        <v>6.1318564556606008</v>
      </c>
      <c r="T16" s="368">
        <f t="shared" si="19"/>
        <v>4.3781455093416684</v>
      </c>
      <c r="U16" s="368">
        <f t="shared" si="3"/>
        <v>1.4799724924345392</v>
      </c>
      <c r="V16" s="368">
        <f t="shared" si="4"/>
        <v>1.0567003595982611</v>
      </c>
      <c r="W16" s="368">
        <f t="shared" si="5"/>
        <v>2.0727906056506153</v>
      </c>
      <c r="X16" s="368">
        <f t="shared" si="6"/>
        <v>4.864943652841843</v>
      </c>
      <c r="Y16" s="368">
        <f t="shared" si="7"/>
        <v>2.4324718264209215</v>
      </c>
      <c r="Z16" s="368"/>
      <c r="AA16" s="368">
        <f t="shared" si="8"/>
        <v>8.3433886375062833</v>
      </c>
      <c r="AB16" s="368">
        <f t="shared" si="9"/>
        <v>2.3370836519625446</v>
      </c>
      <c r="AC16" s="368"/>
      <c r="AD16" s="368">
        <f t="shared" si="0"/>
        <v>2.4383201248231829</v>
      </c>
      <c r="AE16" s="368">
        <f t="shared" si="10"/>
        <v>0.4719319835192774</v>
      </c>
      <c r="AF16" s="368"/>
      <c r="AG16" s="368">
        <f t="shared" si="11"/>
        <v>7.2151389658808052</v>
      </c>
      <c r="AH16" s="368">
        <f t="shared" si="12"/>
        <v>2.0210473293783773</v>
      </c>
      <c r="AI16" s="368"/>
      <c r="AJ16" s="368">
        <f t="shared" si="13"/>
        <v>33.452007932720086</v>
      </c>
      <c r="AK16" s="368">
        <f t="shared" si="14"/>
        <v>9.370310345299746</v>
      </c>
      <c r="AL16" s="368"/>
      <c r="AM16" s="368">
        <f t="shared" si="15"/>
        <v>0.82751430460325337</v>
      </c>
      <c r="AN16" s="368">
        <f t="shared" si="16"/>
        <v>0.59084521348672292</v>
      </c>
    </row>
    <row r="17" spans="1:49">
      <c r="A17" s="375" t="s">
        <v>16</v>
      </c>
      <c r="B17" s="365">
        <v>76.935492131085994</v>
      </c>
      <c r="C17" s="372">
        <v>18.568995029361712</v>
      </c>
      <c r="D17" s="354">
        <v>3002.1801005268576</v>
      </c>
      <c r="E17" s="373">
        <v>6.9927406677062329</v>
      </c>
      <c r="F17" s="373">
        <v>235.46510592367511</v>
      </c>
      <c r="G17" s="373">
        <v>1091.7018547370392</v>
      </c>
      <c r="H17" s="373">
        <v>19.28215540075378</v>
      </c>
      <c r="I17" s="373">
        <v>802.23639070490015</v>
      </c>
      <c r="J17" s="373">
        <v>272.28538474213218</v>
      </c>
      <c r="K17" s="374"/>
      <c r="L17" s="374"/>
      <c r="M17" s="363">
        <v>1.4</v>
      </c>
      <c r="N17" s="363"/>
      <c r="O17" s="415"/>
      <c r="P17" s="415"/>
      <c r="Q17" s="368">
        <f t="shared" si="1"/>
        <v>54.962989532722467</v>
      </c>
      <c r="R17" s="368">
        <f t="shared" si="2"/>
        <v>15.395795387317218</v>
      </c>
      <c r="S17" s="368">
        <f t="shared" si="18"/>
        <v>3.6635948633850477</v>
      </c>
      <c r="T17" s="368">
        <f t="shared" si="19"/>
        <v>2.6158067324569236</v>
      </c>
      <c r="U17" s="368">
        <f t="shared" si="3"/>
        <v>0.88423785854103398</v>
      </c>
      <c r="V17" s="368">
        <f t="shared" si="4"/>
        <v>0.63134583099829811</v>
      </c>
      <c r="W17" s="368">
        <f t="shared" si="5"/>
        <v>1.2384283733067705</v>
      </c>
      <c r="X17" s="368">
        <f t="shared" si="6"/>
        <v>2.9066535895105079</v>
      </c>
      <c r="Y17" s="368">
        <f t="shared" si="7"/>
        <v>1.4533267947552539</v>
      </c>
      <c r="Z17" s="368"/>
      <c r="AA17" s="368">
        <f t="shared" si="8"/>
        <v>4.9849170437405741</v>
      </c>
      <c r="AB17" s="368">
        <f t="shared" si="9"/>
        <v>1.3963353063699087</v>
      </c>
      <c r="AC17" s="368"/>
      <c r="AD17" s="368">
        <f t="shared" si="0"/>
        <v>1.4568209724387984</v>
      </c>
      <c r="AE17" s="368">
        <f t="shared" si="10"/>
        <v>0.28196478557358456</v>
      </c>
      <c r="AF17" s="368"/>
      <c r="AG17" s="368">
        <f t="shared" si="11"/>
        <v>4.3108227084488213</v>
      </c>
      <c r="AH17" s="368">
        <f t="shared" si="12"/>
        <v>1.2075133637111544</v>
      </c>
      <c r="AI17" s="368"/>
      <c r="AJ17" s="368">
        <f t="shared" si="13"/>
        <v>19.986541648262719</v>
      </c>
      <c r="AK17" s="368">
        <f t="shared" si="14"/>
        <v>5.5984710499335346</v>
      </c>
      <c r="AL17" s="368"/>
      <c r="AM17" s="368">
        <f t="shared" si="15"/>
        <v>0.49441424104496873</v>
      </c>
      <c r="AN17" s="368">
        <f t="shared" si="16"/>
        <v>0.35301176810610763</v>
      </c>
    </row>
    <row r="18" spans="1:49">
      <c r="A18" s="375" t="s">
        <v>17</v>
      </c>
      <c r="B18" s="365">
        <v>68.167251474693941</v>
      </c>
      <c r="C18" s="372">
        <v>16.452710169737028</v>
      </c>
      <c r="D18" s="354">
        <v>2660.0254345061467</v>
      </c>
      <c r="E18" s="373">
        <v>6.195786864931847</v>
      </c>
      <c r="F18" s="373">
        <v>208.62944584361935</v>
      </c>
      <c r="G18" s="373">
        <v>967.28197618405341</v>
      </c>
      <c r="H18" s="373">
        <v>17.084592556290669</v>
      </c>
      <c r="I18" s="373">
        <v>710.80652469415509</v>
      </c>
      <c r="J18" s="373">
        <v>241.25336409073438</v>
      </c>
      <c r="K18" s="374"/>
      <c r="L18" s="374"/>
      <c r="M18" s="363">
        <v>1.4</v>
      </c>
      <c r="N18" s="363"/>
      <c r="O18" s="415"/>
      <c r="P18" s="415"/>
      <c r="Q18" s="368">
        <f t="shared" si="1"/>
        <v>48.698927185574071</v>
      </c>
      <c r="R18" s="368">
        <f t="shared" si="2"/>
        <v>13.641156074390496</v>
      </c>
      <c r="S18" s="368">
        <f t="shared" si="18"/>
        <v>3.2460595940330448</v>
      </c>
      <c r="T18" s="368">
        <f t="shared" si="19"/>
        <v>2.317686550139594</v>
      </c>
      <c r="U18" s="368">
        <f t="shared" si="3"/>
        <v>0.78346238903509657</v>
      </c>
      <c r="V18" s="368">
        <f t="shared" si="4"/>
        <v>0.55939214577105889</v>
      </c>
      <c r="W18" s="368">
        <f t="shared" si="5"/>
        <v>1.0972862591527963</v>
      </c>
      <c r="X18" s="368">
        <f t="shared" si="6"/>
        <v>2.5753859590367938</v>
      </c>
      <c r="Y18" s="368">
        <f t="shared" si="7"/>
        <v>1.2876929795183969</v>
      </c>
      <c r="Z18" s="368"/>
      <c r="AA18" s="368">
        <f t="shared" si="8"/>
        <v>4.4167923579688289</v>
      </c>
      <c r="AB18" s="368">
        <f t="shared" si="9"/>
        <v>1.2371967389268432</v>
      </c>
      <c r="AC18" s="368"/>
      <c r="AD18" s="368">
        <f t="shared" si="0"/>
        <v>1.2907889301941349</v>
      </c>
      <c r="AE18" s="368">
        <f t="shared" si="10"/>
        <v>0.24982961586121441</v>
      </c>
      <c r="AF18" s="368"/>
      <c r="AG18" s="368">
        <f t="shared" si="11"/>
        <v>3.8195237008293388</v>
      </c>
      <c r="AH18" s="368">
        <f t="shared" si="12"/>
        <v>1.069894594069843</v>
      </c>
      <c r="AI18" s="368"/>
      <c r="AJ18" s="368">
        <f t="shared" si="13"/>
        <v>17.708700794754204</v>
      </c>
      <c r="AK18" s="368">
        <f t="shared" si="14"/>
        <v>4.960420390687454</v>
      </c>
      <c r="AL18" s="368"/>
      <c r="AM18" s="368">
        <f t="shared" si="15"/>
        <v>0.43806647580232483</v>
      </c>
      <c r="AN18" s="368">
        <f t="shared" si="16"/>
        <v>0.31277946372285992</v>
      </c>
      <c r="AT18" s="350">
        <f>90*27</f>
        <v>2430</v>
      </c>
      <c r="AU18" s="350">
        <f>AT18/60</f>
        <v>40.5</v>
      </c>
    </row>
    <row r="19" spans="1:49">
      <c r="A19" s="375" t="s">
        <v>18</v>
      </c>
      <c r="B19" s="365">
        <v>84.151831786346705</v>
      </c>
      <c r="C19" s="366">
        <v>20.310716197017424</v>
      </c>
      <c r="D19" s="354">
        <v>3283.7764185793017</v>
      </c>
      <c r="E19" s="342">
        <v>7.6486407000780741</v>
      </c>
      <c r="F19" s="342">
        <v>257.55109165327855</v>
      </c>
      <c r="G19" s="342">
        <v>1194.1005158470186</v>
      </c>
      <c r="H19" s="342">
        <v>21.090769069205727</v>
      </c>
      <c r="I19" s="342">
        <v>877.48397954560187</v>
      </c>
      <c r="J19" s="342">
        <v>297.82501235788436</v>
      </c>
      <c r="K19" s="345"/>
      <c r="L19" s="345"/>
      <c r="M19" s="363">
        <v>1.4</v>
      </c>
      <c r="N19" s="363"/>
      <c r="O19" s="415"/>
      <c r="P19" s="415"/>
      <c r="Q19" s="368">
        <f t="shared" si="1"/>
        <v>60.118368278605672</v>
      </c>
      <c r="R19" s="368">
        <f t="shared" si="2"/>
        <v>16.839879069637444</v>
      </c>
      <c r="S19" s="368">
        <f t="shared" si="18"/>
        <v>4.0072300850641289</v>
      </c>
      <c r="T19" s="368">
        <f t="shared" si="19"/>
        <v>2.8611622807357882</v>
      </c>
      <c r="U19" s="368">
        <f t="shared" si="3"/>
        <v>0.96717696176273449</v>
      </c>
      <c r="V19" s="368">
        <f t="shared" si="4"/>
        <v>0.69056435069859246</v>
      </c>
      <c r="W19" s="368">
        <f t="shared" si="5"/>
        <v>1.354589582300749</v>
      </c>
      <c r="X19" s="368">
        <f t="shared" si="6"/>
        <v>3.1792897809623257</v>
      </c>
      <c r="Y19" s="368">
        <f t="shared" si="7"/>
        <v>1.5896448904811629</v>
      </c>
      <c r="Z19" s="368"/>
      <c r="AA19" s="368">
        <f t="shared" si="8"/>
        <v>5.4524886877828056</v>
      </c>
      <c r="AB19" s="368">
        <f t="shared" si="9"/>
        <v>1.5273077556814583</v>
      </c>
      <c r="AC19" s="368"/>
      <c r="AD19" s="368">
        <f t="shared" si="0"/>
        <v>1.5934668125162654</v>
      </c>
      <c r="AE19" s="368">
        <f t="shared" si="10"/>
        <v>0.30841231462889812</v>
      </c>
      <c r="AF19" s="368"/>
      <c r="AG19" s="368">
        <f t="shared" si="11"/>
        <v>4.715166139498483</v>
      </c>
      <c r="AH19" s="368">
        <f t="shared" si="12"/>
        <v>1.320774828991172</v>
      </c>
      <c r="AI19" s="368"/>
      <c r="AJ19" s="368">
        <f t="shared" si="13"/>
        <v>21.861224828583879</v>
      </c>
      <c r="AK19" s="368">
        <f t="shared" si="14"/>
        <v>6.1235923889590698</v>
      </c>
      <c r="AL19" s="368"/>
      <c r="AM19" s="368">
        <f t="shared" si="15"/>
        <v>0.54078895049245446</v>
      </c>
      <c r="AN19" s="368">
        <f t="shared" si="16"/>
        <v>0.38612331065161248</v>
      </c>
      <c r="AT19" s="350">
        <f>10*30/0.4</f>
        <v>750</v>
      </c>
    </row>
    <row r="20" spans="1:49">
      <c r="A20" s="375" t="s">
        <v>19</v>
      </c>
      <c r="B20" s="365">
        <v>106.77078887783593</v>
      </c>
      <c r="C20" s="366">
        <v>25.769982007465167</v>
      </c>
      <c r="D20" s="354">
        <v>4166.4143402167992</v>
      </c>
      <c r="E20" s="342">
        <v>9.7044994036951859</v>
      </c>
      <c r="F20" s="342">
        <v>326.7775953111215</v>
      </c>
      <c r="G20" s="342">
        <v>1515.059760078836</v>
      </c>
      <c r="H20" s="342">
        <v>26.759703309568536</v>
      </c>
      <c r="I20" s="342">
        <v>1113.340669298984</v>
      </c>
      <c r="J20" s="342">
        <v>377.87664085241943</v>
      </c>
      <c r="K20" s="345"/>
      <c r="L20" s="345"/>
      <c r="M20" s="363">
        <v>1.4</v>
      </c>
      <c r="N20" s="363"/>
      <c r="O20" s="415"/>
      <c r="P20" s="415"/>
      <c r="Q20" s="368">
        <f t="shared" si="1"/>
        <v>76.277431767046011</v>
      </c>
      <c r="R20" s="368">
        <f t="shared" si="2"/>
        <v>21.366227385727179</v>
      </c>
      <c r="S20" s="368">
        <f t="shared" si="18"/>
        <v>5.0843232798969495</v>
      </c>
      <c r="T20" s="368">
        <f t="shared" si="19"/>
        <v>3.6302068218464214</v>
      </c>
      <c r="U20" s="368">
        <f t="shared" si="3"/>
        <v>1.2271420003554843</v>
      </c>
      <c r="V20" s="368">
        <f t="shared" si="4"/>
        <v>0.87617938825381569</v>
      </c>
      <c r="W20" s="368">
        <f t="shared" si="5"/>
        <v>1.7186862750076812</v>
      </c>
      <c r="X20" s="368">
        <f t="shared" si="6"/>
        <v>4.0338430047064637</v>
      </c>
      <c r="Y20" s="368">
        <f t="shared" si="7"/>
        <v>2.0169215023532319</v>
      </c>
      <c r="Z20" s="368"/>
      <c r="AA20" s="368">
        <f t="shared" si="8"/>
        <v>6.9180492709904478</v>
      </c>
      <c r="AB20" s="368">
        <f t="shared" si="9"/>
        <v>1.9378289274483047</v>
      </c>
      <c r="AC20" s="368"/>
      <c r="AD20" s="368">
        <f t="shared" si="0"/>
        <v>2.0217707091031638</v>
      </c>
      <c r="AE20" s="368">
        <f t="shared" si="10"/>
        <v>0.39130967720549914</v>
      </c>
      <c r="AF20" s="368"/>
      <c r="AG20" s="368">
        <f t="shared" si="11"/>
        <v>5.9825436680036095</v>
      </c>
      <c r="AH20" s="368">
        <f t="shared" si="12"/>
        <v>1.6757825400570332</v>
      </c>
      <c r="AI20" s="368"/>
      <c r="AJ20" s="368">
        <f t="shared" si="13"/>
        <v>27.737247915289455</v>
      </c>
      <c r="AK20" s="368">
        <f t="shared" si="14"/>
        <v>7.7695372311735182</v>
      </c>
      <c r="AL20" s="368"/>
      <c r="AM20" s="368">
        <f t="shared" si="15"/>
        <v>0.68614623870688551</v>
      </c>
      <c r="AN20" s="368">
        <f t="shared" si="16"/>
        <v>0.48990841443671623</v>
      </c>
      <c r="AR20" s="351"/>
      <c r="AS20" s="351"/>
      <c r="AT20" s="351">
        <f>10*30</f>
        <v>300</v>
      </c>
      <c r="AU20" s="351"/>
    </row>
    <row r="21" spans="1:49">
      <c r="A21" s="375" t="s">
        <v>20</v>
      </c>
      <c r="B21" s="365">
        <v>86.518480813072003</v>
      </c>
      <c r="C21" s="366">
        <v>20.881925827270106</v>
      </c>
      <c r="D21" s="354">
        <v>3376.1278992309094</v>
      </c>
      <c r="E21" s="342">
        <v>7.8637476999419569</v>
      </c>
      <c r="F21" s="342">
        <v>264.79434503771836</v>
      </c>
      <c r="G21" s="342">
        <v>1227.6828724476034</v>
      </c>
      <c r="H21" s="342">
        <v>21.683916562622763</v>
      </c>
      <c r="I21" s="342">
        <v>902.16195222991803</v>
      </c>
      <c r="J21" s="342">
        <v>306.20091173724393</v>
      </c>
      <c r="K21" s="345"/>
      <c r="L21" s="345"/>
      <c r="M21" s="363">
        <v>1.4</v>
      </c>
      <c r="N21" s="363"/>
      <c r="O21" s="415"/>
      <c r="P21" s="415"/>
      <c r="Q21" s="368">
        <f t="shared" si="1"/>
        <v>61.809110770535106</v>
      </c>
      <c r="R21" s="368">
        <f t="shared" si="2"/>
        <v>17.313476406312358</v>
      </c>
      <c r="S21" s="368">
        <f t="shared" si="18"/>
        <v>4.1199276577653334</v>
      </c>
      <c r="T21" s="368">
        <f t="shared" si="19"/>
        <v>2.941628347644448</v>
      </c>
      <c r="U21" s="368">
        <f t="shared" si="3"/>
        <v>0.99437742034619558</v>
      </c>
      <c r="V21" s="368">
        <f t="shared" si="4"/>
        <v>0.7099854781271836</v>
      </c>
      <c r="W21" s="368">
        <f t="shared" si="5"/>
        <v>1.3926854626697418</v>
      </c>
      <c r="X21" s="368">
        <f t="shared" si="6"/>
        <v>3.2687027254707179</v>
      </c>
      <c r="Y21" s="368">
        <f t="shared" si="7"/>
        <v>1.634351362735359</v>
      </c>
      <c r="Z21" s="368"/>
      <c r="AA21" s="368">
        <f t="shared" si="8"/>
        <v>5.6058320764203113</v>
      </c>
      <c r="AB21" s="368">
        <f t="shared" si="9"/>
        <v>1.5702610858320201</v>
      </c>
      <c r="AC21" s="368"/>
      <c r="AD21" s="368">
        <f t="shared" si="0"/>
        <v>1.6382807708212408</v>
      </c>
      <c r="AE21" s="368">
        <f t="shared" si="10"/>
        <v>0.31708596663090954</v>
      </c>
      <c r="AF21" s="368"/>
      <c r="AG21" s="368">
        <f t="shared" si="11"/>
        <v>4.8477733937674579</v>
      </c>
      <c r="AH21" s="368">
        <f t="shared" si="12"/>
        <v>1.3579197181421454</v>
      </c>
      <c r="AI21" s="368"/>
      <c r="AJ21" s="368">
        <f t="shared" si="13"/>
        <v>22.476040280194582</v>
      </c>
      <c r="AK21" s="368">
        <f t="shared" si="14"/>
        <v>6.2958096022954022</v>
      </c>
      <c r="AL21" s="368"/>
      <c r="AM21" s="368">
        <f t="shared" si="15"/>
        <v>0.55599786058007084</v>
      </c>
      <c r="AN21" s="368">
        <f t="shared" si="16"/>
        <v>0.39698247245417051</v>
      </c>
      <c r="AT21" s="350">
        <f>5/0.4</f>
        <v>12.5</v>
      </c>
    </row>
    <row r="22" spans="1:49">
      <c r="A22" s="375" t="s">
        <v>41</v>
      </c>
      <c r="B22" s="365">
        <v>117.44010826061387</v>
      </c>
      <c r="C22" s="372">
        <v>28.345107389751842</v>
      </c>
      <c r="D22" s="354">
        <v>4582.7529824986377</v>
      </c>
      <c r="E22" s="373">
        <v>10.674244075212693</v>
      </c>
      <c r="F22" s="373">
        <v>359.43160647048137</v>
      </c>
      <c r="G22" s="373">
        <v>1666.4556299995047</v>
      </c>
      <c r="H22" s="373">
        <v>29.433728894645334</v>
      </c>
      <c r="I22" s="373">
        <v>1224.5938248430321</v>
      </c>
      <c r="J22" s="373">
        <v>415.63684297248318</v>
      </c>
      <c r="K22" s="374"/>
      <c r="L22" s="374"/>
      <c r="M22" s="363">
        <v>1.4</v>
      </c>
      <c r="N22" s="363"/>
      <c r="O22" s="415"/>
      <c r="P22" s="415"/>
      <c r="Q22" s="368">
        <f t="shared" si="1"/>
        <v>83.899631525744283</v>
      </c>
      <c r="R22" s="368">
        <f t="shared" si="2"/>
        <v>23.501297346146863</v>
      </c>
      <c r="S22" s="368">
        <f t="shared" si="18"/>
        <v>5.5923861076482799</v>
      </c>
      <c r="T22" s="368">
        <f t="shared" si="19"/>
        <v>3.9929636808608717</v>
      </c>
      <c r="U22" s="368">
        <f t="shared" si="3"/>
        <v>1.3497670185596116</v>
      </c>
      <c r="V22" s="368">
        <f t="shared" si="4"/>
        <v>0.96373365125156263</v>
      </c>
      <c r="W22" s="368">
        <f t="shared" si="5"/>
        <v>1.8904299979826495</v>
      </c>
      <c r="X22" s="368">
        <f t="shared" si="6"/>
        <v>4.4369341479819999</v>
      </c>
      <c r="Y22" s="368">
        <f t="shared" si="7"/>
        <v>2.218467073991</v>
      </c>
      <c r="Z22" s="368"/>
      <c r="AA22" s="368">
        <f t="shared" si="8"/>
        <v>7.6093514328808451</v>
      </c>
      <c r="AB22" s="368">
        <f t="shared" si="9"/>
        <v>2.1314709896024779</v>
      </c>
      <c r="AC22" s="368"/>
      <c r="AD22" s="368">
        <f t="shared" si="0"/>
        <v>2.223800849002644</v>
      </c>
      <c r="AE22" s="368">
        <f t="shared" si="10"/>
        <v>0.43041220672276381</v>
      </c>
      <c r="AF22" s="368"/>
      <c r="AG22" s="368">
        <f t="shared" si="11"/>
        <v>6.5803632569211192</v>
      </c>
      <c r="AH22" s="368">
        <f t="shared" si="12"/>
        <v>1.8432390075409302</v>
      </c>
      <c r="AI22" s="368"/>
      <c r="AJ22" s="368">
        <f t="shared" si="13"/>
        <v>30.508956918452466</v>
      </c>
      <c r="AK22" s="368">
        <f t="shared" si="14"/>
        <v>8.5459263076897667</v>
      </c>
      <c r="AL22" s="368"/>
      <c r="AM22" s="368">
        <f t="shared" si="15"/>
        <v>0.75471099729859825</v>
      </c>
      <c r="AN22" s="368">
        <f t="shared" si="16"/>
        <v>0.53886365207119913</v>
      </c>
      <c r="AU22" s="350">
        <f>30/0.4</f>
        <v>75</v>
      </c>
      <c r="AV22" s="350">
        <f>10*AU22</f>
        <v>750</v>
      </c>
      <c r="AW22" s="350">
        <f>AV22/60</f>
        <v>12.5</v>
      </c>
    </row>
    <row r="23" spans="1:49" s="370" customFormat="1">
      <c r="A23" s="369" t="s">
        <v>21</v>
      </c>
      <c r="B23" s="377">
        <v>268.7116583458909</v>
      </c>
      <c r="C23" s="378">
        <v>64.855703264427248</v>
      </c>
      <c r="D23" s="379">
        <v>10485.677950705507</v>
      </c>
      <c r="E23" s="379">
        <v>24.423460345200898</v>
      </c>
      <c r="F23" s="379">
        <v>822.40611378082406</v>
      </c>
      <c r="G23" s="379">
        <v>3812.9738002565482</v>
      </c>
      <c r="H23" s="379">
        <v>67.346549826334183</v>
      </c>
      <c r="I23" s="379">
        <v>2801.96129199301</v>
      </c>
      <c r="J23" s="379">
        <v>951.00785412204118</v>
      </c>
      <c r="K23" s="380"/>
      <c r="L23" s="380"/>
      <c r="M23" s="363">
        <v>1.4</v>
      </c>
      <c r="N23" s="363"/>
      <c r="O23" s="415"/>
      <c r="P23" s="415"/>
      <c r="Q23" s="368">
        <f t="shared" si="1"/>
        <v>191.96856555907004</v>
      </c>
      <c r="R23" s="368">
        <f t="shared" si="2"/>
        <v>53.772707439515422</v>
      </c>
      <c r="S23" s="368">
        <f t="shared" si="18"/>
        <v>12.795793254566235</v>
      </c>
      <c r="T23" s="368">
        <f t="shared" si="19"/>
        <v>9.1361963837602893</v>
      </c>
      <c r="U23" s="368">
        <f t="shared" si="3"/>
        <v>3.0883668221155833</v>
      </c>
      <c r="V23" s="368">
        <f t="shared" si="4"/>
        <v>2.2050939109905263</v>
      </c>
      <c r="W23" s="368">
        <f t="shared" si="5"/>
        <v>4.3254437284531981</v>
      </c>
      <c r="X23" s="368">
        <f t="shared" si="6"/>
        <v>10.152033666641341</v>
      </c>
      <c r="Y23" s="368">
        <f t="shared" si="7"/>
        <v>5.0760168333206703</v>
      </c>
      <c r="Z23" s="368"/>
      <c r="AA23" s="368">
        <f t="shared" si="8"/>
        <v>17.41075917546506</v>
      </c>
      <c r="AB23" s="368">
        <f t="shared" si="9"/>
        <v>4.8769633544720064</v>
      </c>
      <c r="AC23" s="368"/>
      <c r="AD23" s="368">
        <f t="shared" si="0"/>
        <v>5.0882209052501866</v>
      </c>
      <c r="AE23" s="368">
        <f t="shared" si="10"/>
        <v>0.98481497976936316</v>
      </c>
      <c r="AF23" s="368"/>
      <c r="AG23" s="368">
        <f t="shared" si="11"/>
        <v>15.056358083064316</v>
      </c>
      <c r="AH23" s="368">
        <f t="shared" si="12"/>
        <v>4.2174672501580721</v>
      </c>
      <c r="AI23" s="368"/>
      <c r="AJ23" s="368">
        <f t="shared" si="13"/>
        <v>69.806751112389108</v>
      </c>
      <c r="AK23" s="368">
        <f t="shared" si="14"/>
        <v>19.553711796187425</v>
      </c>
      <c r="AL23" s="368"/>
      <c r="AM23" s="368">
        <f t="shared" si="15"/>
        <v>1.7268346109316457</v>
      </c>
      <c r="AN23" s="368">
        <f t="shared" si="16"/>
        <v>1.2329599122051951</v>
      </c>
    </row>
    <row r="24" spans="1:49" s="370" customFormat="1">
      <c r="A24" s="369" t="s">
        <v>413</v>
      </c>
      <c r="B24" s="377">
        <v>103.51179677546013</v>
      </c>
      <c r="C24" s="378">
        <v>24.983398254330332</v>
      </c>
      <c r="D24" s="379">
        <v>4039.2418094834375</v>
      </c>
      <c r="E24" s="379">
        <v>9.408286485849839</v>
      </c>
      <c r="F24" s="379">
        <v>316.80327917517155</v>
      </c>
      <c r="G24" s="379">
        <v>1468.8152034485227</v>
      </c>
      <c r="H24" s="379">
        <v>25.942910039945076</v>
      </c>
      <c r="I24" s="379">
        <v>1079.357887241893</v>
      </c>
      <c r="J24" s="379">
        <v>366.34261547756358</v>
      </c>
      <c r="K24" s="380"/>
      <c r="L24" s="380"/>
      <c r="M24" s="363">
        <v>1.4</v>
      </c>
      <c r="N24" s="363"/>
      <c r="O24" s="415"/>
      <c r="P24" s="415"/>
      <c r="Q24" s="368">
        <f t="shared" si="1"/>
        <v>73.949196204389082</v>
      </c>
      <c r="R24" s="368">
        <f t="shared" si="2"/>
        <v>20.714060561453525</v>
      </c>
      <c r="S24" s="368">
        <f t="shared" si="18"/>
        <v>4.9291331797838156</v>
      </c>
      <c r="T24" s="368">
        <f t="shared" si="19"/>
        <v>3.5194010903656445</v>
      </c>
      <c r="U24" s="368">
        <f t="shared" si="3"/>
        <v>1.1896856311585873</v>
      </c>
      <c r="V24" s="368">
        <f t="shared" si="4"/>
        <v>0.84943554064723137</v>
      </c>
      <c r="W24" s="368">
        <f t="shared" si="5"/>
        <v>1.6662263741716912</v>
      </c>
      <c r="X24" s="368">
        <f t="shared" si="6"/>
        <v>3.9107169827604822</v>
      </c>
      <c r="Y24" s="368">
        <f t="shared" si="7"/>
        <v>1.9553584913802411</v>
      </c>
      <c r="Z24" s="368"/>
      <c r="AA24" s="368">
        <f t="shared" si="8"/>
        <v>6.7068878833584717</v>
      </c>
      <c r="AB24" s="368">
        <f t="shared" si="9"/>
        <v>1.878680079372121</v>
      </c>
      <c r="AC24" s="368"/>
      <c r="AD24" s="368">
        <f t="shared" si="0"/>
        <v>1.9600596845520499</v>
      </c>
      <c r="AE24" s="368">
        <f t="shared" si="10"/>
        <v>0.37936563182568012</v>
      </c>
      <c r="AF24" s="368"/>
      <c r="AG24" s="368">
        <f t="shared" si="11"/>
        <v>5.7999369572069863</v>
      </c>
      <c r="AH24" s="368">
        <f t="shared" si="12"/>
        <v>1.6246322008983156</v>
      </c>
      <c r="AI24" s="368"/>
      <c r="AJ24" s="368">
        <f>(G24*0.714/0.65)/60</f>
        <v>26.890616801596028</v>
      </c>
      <c r="AK24" s="368">
        <f>(G24*0.2/0.65)/60</f>
        <v>7.5323856587103721</v>
      </c>
      <c r="AL24" s="368"/>
      <c r="AM24" s="368">
        <f t="shared" si="15"/>
        <v>0.66520282153705312</v>
      </c>
      <c r="AN24" s="368">
        <f t="shared" si="16"/>
        <v>0.47495481457745592</v>
      </c>
    </row>
    <row r="25" spans="1:49">
      <c r="M25" s="363">
        <v>1.4</v>
      </c>
      <c r="N25" s="363"/>
      <c r="O25" s="415"/>
      <c r="P25" s="415"/>
    </row>
    <row r="26" spans="1:49">
      <c r="C26" s="381" t="s">
        <v>380</v>
      </c>
      <c r="D26" s="381"/>
      <c r="E26" s="381" t="s">
        <v>383</v>
      </c>
      <c r="P26" s="382" t="s">
        <v>387</v>
      </c>
      <c r="Q26" s="382" t="s">
        <v>384</v>
      </c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382"/>
      <c r="AD26" s="382"/>
      <c r="AE26" s="382"/>
      <c r="AF26" s="382"/>
      <c r="AG26" s="382"/>
      <c r="AH26" s="382"/>
      <c r="AI26" s="382"/>
    </row>
    <row r="27" spans="1:49" s="401" customFormat="1" ht="41.4">
      <c r="C27" s="404" t="s">
        <v>381</v>
      </c>
      <c r="D27" s="404" t="s">
        <v>382</v>
      </c>
      <c r="E27" s="405">
        <v>1</v>
      </c>
      <c r="I27" s="368"/>
      <c r="J27" s="368"/>
      <c r="K27" s="368"/>
      <c r="L27" s="368"/>
      <c r="M27" s="368"/>
      <c r="P27" s="406" t="s">
        <v>74</v>
      </c>
      <c r="Q27" s="406"/>
      <c r="R27" s="406"/>
      <c r="S27" s="406" t="s">
        <v>244</v>
      </c>
      <c r="T27" s="406"/>
      <c r="U27" s="406"/>
      <c r="V27" s="406" t="s">
        <v>164</v>
      </c>
      <c r="W27" s="406"/>
      <c r="X27" s="406"/>
      <c r="Y27" s="406" t="s">
        <v>163</v>
      </c>
      <c r="Z27" s="406"/>
      <c r="AA27" s="406"/>
      <c r="AB27" s="406" t="s">
        <v>150</v>
      </c>
      <c r="AC27" s="406"/>
      <c r="AD27" s="406"/>
      <c r="AE27" s="406" t="s">
        <v>57</v>
      </c>
      <c r="AF27" s="406"/>
      <c r="AG27" s="406"/>
      <c r="AH27" s="406" t="s">
        <v>1</v>
      </c>
      <c r="AI27" s="406"/>
      <c r="AK27" s="401" t="s">
        <v>411</v>
      </c>
      <c r="AN27" s="401" t="s">
        <v>408</v>
      </c>
    </row>
    <row r="28" spans="1:49" s="407" customFormat="1" ht="41.4">
      <c r="I28" s="408"/>
      <c r="J28" s="408"/>
      <c r="K28" s="408"/>
      <c r="L28" s="408"/>
      <c r="M28" s="408"/>
      <c r="N28" s="409" t="s">
        <v>3</v>
      </c>
      <c r="O28" s="410"/>
      <c r="P28" s="434">
        <v>255.8</v>
      </c>
      <c r="Q28" s="434">
        <v>71.7</v>
      </c>
      <c r="R28" s="411" t="str">
        <f>Q28&amp;"-"&amp;P28</f>
        <v>71.7-255.8</v>
      </c>
      <c r="S28" s="434">
        <v>4.0999999999999996</v>
      </c>
      <c r="T28" s="434">
        <v>2.9</v>
      </c>
      <c r="U28" s="411" t="str">
        <f>T28&amp;"-"&amp;S28</f>
        <v>2.9-4.1</v>
      </c>
      <c r="V28" s="434">
        <v>13.5</v>
      </c>
      <c r="W28" s="434">
        <v>6.8</v>
      </c>
      <c r="X28" s="411" t="str">
        <f>W28&amp;"-"&amp;V28</f>
        <v>6.8-13.5</v>
      </c>
      <c r="Y28" s="434">
        <v>23.2</v>
      </c>
      <c r="Z28" s="434">
        <v>6.5</v>
      </c>
      <c r="AA28" s="411" t="str">
        <f>Z28&amp;"-"&amp;Y28</f>
        <v>6.5-23.2</v>
      </c>
      <c r="AB28" s="434">
        <v>6.8</v>
      </c>
      <c r="AC28" s="434">
        <v>1.3</v>
      </c>
      <c r="AD28" s="411" t="str">
        <f>AC28&amp;"-"&amp;AB28</f>
        <v>1.3-6.8</v>
      </c>
      <c r="AE28" s="434">
        <v>20.100000000000001</v>
      </c>
      <c r="AF28" s="434">
        <v>5.6</v>
      </c>
      <c r="AG28" s="411" t="str">
        <f>AF28&amp;"-"&amp;AE28</f>
        <v>5.6-20.1</v>
      </c>
      <c r="AH28" s="434">
        <v>93</v>
      </c>
      <c r="AI28" s="434">
        <v>26.1</v>
      </c>
      <c r="AJ28" s="411" t="str">
        <f>AI28&amp;"-"&amp;AH28</f>
        <v>26.1-93</v>
      </c>
      <c r="AK28" s="434">
        <v>2.2999999999999998</v>
      </c>
      <c r="AL28" s="434">
        <v>1.6</v>
      </c>
      <c r="AM28" s="411" t="str">
        <f>AL28&amp;"-"&amp;AK28</f>
        <v>1.6-2.3</v>
      </c>
      <c r="AN28" s="434">
        <v>17.100000000000001</v>
      </c>
      <c r="AO28" s="434">
        <v>12.2</v>
      </c>
      <c r="AP28" s="411" t="str">
        <f>AO28&amp;"-"&amp;AN28</f>
        <v>12.2-17.1</v>
      </c>
    </row>
    <row r="29" spans="1:49" s="407" customFormat="1">
      <c r="I29" s="408"/>
      <c r="J29" s="408"/>
      <c r="K29" s="408"/>
      <c r="L29" s="408"/>
      <c r="M29" s="408"/>
      <c r="N29" s="412" t="s">
        <v>9</v>
      </c>
      <c r="O29" s="413"/>
      <c r="P29" s="434">
        <v>89.8</v>
      </c>
      <c r="Q29" s="434">
        <v>25.2</v>
      </c>
      <c r="R29" s="411" t="str">
        <f t="shared" ref="R29:R48" si="25">Q29&amp;"-"&amp;P29</f>
        <v>25.2-89.8</v>
      </c>
      <c r="S29" s="434">
        <v>1.4</v>
      </c>
      <c r="T29" s="434">
        <v>1</v>
      </c>
      <c r="U29" s="411" t="str">
        <f t="shared" ref="U29:U48" si="26">T29&amp;"-"&amp;S29</f>
        <v>1-1.4</v>
      </c>
      <c r="V29" s="434">
        <v>4.8</v>
      </c>
      <c r="W29" s="434">
        <v>2.4</v>
      </c>
      <c r="X29" s="411" t="str">
        <f t="shared" ref="X29:X48" si="27">W29&amp;"-"&amp;V29</f>
        <v>2.4-4.8</v>
      </c>
      <c r="Y29" s="434">
        <v>8.1</v>
      </c>
      <c r="Z29" s="434">
        <v>2.2999999999999998</v>
      </c>
      <c r="AA29" s="411" t="str">
        <f>Z29&amp;"-"&amp;Y29</f>
        <v>2.3-8.1</v>
      </c>
      <c r="AB29" s="434">
        <v>2.4</v>
      </c>
      <c r="AC29" s="434">
        <v>0.5</v>
      </c>
      <c r="AD29" s="411" t="str">
        <f t="shared" ref="AD29:AD48" si="28">AC29&amp;"-"&amp;AB29</f>
        <v>0.5-2.4</v>
      </c>
      <c r="AE29" s="434">
        <v>7</v>
      </c>
      <c r="AF29" s="434">
        <v>2</v>
      </c>
      <c r="AG29" s="411" t="str">
        <f t="shared" ref="AG29:AG48" si="29">AF29&amp;"-"&amp;AE29</f>
        <v>2-7</v>
      </c>
      <c r="AH29" s="434">
        <v>32.700000000000003</v>
      </c>
      <c r="AI29" s="434">
        <v>9.1999999999999993</v>
      </c>
      <c r="AJ29" s="411" t="str">
        <f t="shared" ref="AJ29:AJ48" si="30">AI29&amp;"-"&amp;AH29</f>
        <v>9.2-32.7</v>
      </c>
      <c r="AK29" s="434">
        <v>0.8</v>
      </c>
      <c r="AL29" s="434">
        <v>0.6</v>
      </c>
      <c r="AM29" s="411" t="str">
        <f t="shared" ref="AM29:AM48" si="31">AL29&amp;"-"&amp;AK29</f>
        <v>0.6-0.8</v>
      </c>
      <c r="AN29" s="434">
        <v>6</v>
      </c>
      <c r="AO29" s="434">
        <v>4.3</v>
      </c>
      <c r="AP29" s="411" t="str">
        <f t="shared" ref="AP29:AP48" si="32">AO29&amp;"-"&amp;AN29</f>
        <v>4.3-6</v>
      </c>
    </row>
    <row r="30" spans="1:49" s="407" customFormat="1">
      <c r="C30" s="407">
        <f>C4*4.2</f>
        <v>362.96907288407112</v>
      </c>
      <c r="I30" s="408"/>
      <c r="J30" s="408"/>
      <c r="K30" s="408"/>
      <c r="L30" s="408"/>
      <c r="M30" s="408"/>
      <c r="N30" s="412" t="s">
        <v>10</v>
      </c>
      <c r="O30" s="413"/>
      <c r="P30" s="434">
        <v>90.6</v>
      </c>
      <c r="Q30" s="434">
        <v>25.4</v>
      </c>
      <c r="R30" s="411" t="str">
        <f t="shared" si="25"/>
        <v>25.4-90.6</v>
      </c>
      <c r="S30" s="434">
        <v>1.5</v>
      </c>
      <c r="T30" s="434">
        <v>1</v>
      </c>
      <c r="U30" s="411" t="str">
        <f t="shared" si="26"/>
        <v>1-1.5</v>
      </c>
      <c r="V30" s="434">
        <v>4.8</v>
      </c>
      <c r="W30" s="434">
        <v>2.4</v>
      </c>
      <c r="X30" s="411" t="str">
        <f t="shared" si="27"/>
        <v>2.4-4.8</v>
      </c>
      <c r="Y30" s="434">
        <v>8.1999999999999993</v>
      </c>
      <c r="Z30" s="434">
        <v>2.2999999999999998</v>
      </c>
      <c r="AA30" s="411" t="str">
        <f>Z30&amp;"-"&amp;Y30</f>
        <v>2.3-8.2</v>
      </c>
      <c r="AB30" s="434">
        <v>2.4</v>
      </c>
      <c r="AC30" s="434">
        <v>0.5</v>
      </c>
      <c r="AD30" s="411" t="str">
        <f t="shared" si="28"/>
        <v>0.5-2.4</v>
      </c>
      <c r="AE30" s="434">
        <v>7.1</v>
      </c>
      <c r="AF30" s="434">
        <v>2</v>
      </c>
      <c r="AG30" s="411" t="str">
        <f t="shared" si="29"/>
        <v>2-7.1</v>
      </c>
      <c r="AH30" s="434">
        <v>32.9</v>
      </c>
      <c r="AI30" s="434">
        <v>9.1999999999999993</v>
      </c>
      <c r="AJ30" s="411" t="str">
        <f t="shared" si="30"/>
        <v>9.2-32.9</v>
      </c>
      <c r="AK30" s="434">
        <v>0.8</v>
      </c>
      <c r="AL30" s="434">
        <v>0.6</v>
      </c>
      <c r="AM30" s="411" t="str">
        <f t="shared" si="31"/>
        <v>0.6-0.8</v>
      </c>
      <c r="AN30" s="434">
        <v>6</v>
      </c>
      <c r="AO30" s="434">
        <v>4.3</v>
      </c>
      <c r="AP30" s="411" t="str">
        <f t="shared" si="32"/>
        <v>4.3-6</v>
      </c>
    </row>
    <row r="31" spans="1:49" s="407" customFormat="1">
      <c r="I31" s="408"/>
      <c r="J31" s="408"/>
      <c r="K31" s="408"/>
      <c r="L31" s="408"/>
      <c r="M31" s="408"/>
      <c r="N31" s="412" t="s">
        <v>11</v>
      </c>
      <c r="O31" s="413"/>
      <c r="P31" s="434">
        <v>89.8</v>
      </c>
      <c r="Q31" s="434">
        <v>25.2</v>
      </c>
      <c r="R31" s="411" t="str">
        <f t="shared" si="25"/>
        <v>25.2-89.8</v>
      </c>
      <c r="S31" s="434">
        <v>1.4</v>
      </c>
      <c r="T31" s="434">
        <v>1</v>
      </c>
      <c r="U31" s="411" t="str">
        <f t="shared" si="26"/>
        <v>1-1.4</v>
      </c>
      <c r="V31" s="434">
        <v>4.8</v>
      </c>
      <c r="W31" s="434">
        <v>2.4</v>
      </c>
      <c r="X31" s="411" t="str">
        <f t="shared" si="27"/>
        <v>2.4-4.8</v>
      </c>
      <c r="Y31" s="434">
        <v>8.1</v>
      </c>
      <c r="Z31" s="434">
        <v>2.2999999999999998</v>
      </c>
      <c r="AA31" s="411" t="str">
        <f>Z31&amp;"-"&amp;Y31</f>
        <v>2.3-8.1</v>
      </c>
      <c r="AB31" s="434">
        <v>2.4</v>
      </c>
      <c r="AC31" s="434">
        <v>0.5</v>
      </c>
      <c r="AD31" s="411" t="str">
        <f t="shared" si="28"/>
        <v>0.5-2.4</v>
      </c>
      <c r="AE31" s="434">
        <v>7</v>
      </c>
      <c r="AF31" s="434">
        <v>2</v>
      </c>
      <c r="AG31" s="411" t="str">
        <f t="shared" si="29"/>
        <v>2-7</v>
      </c>
      <c r="AH31" s="434">
        <v>32.700000000000003</v>
      </c>
      <c r="AI31" s="434">
        <v>9.1999999999999993</v>
      </c>
      <c r="AJ31" s="411" t="str">
        <f t="shared" si="30"/>
        <v>9.2-32.7</v>
      </c>
      <c r="AK31" s="434">
        <v>0.8</v>
      </c>
      <c r="AL31" s="434">
        <v>0.6</v>
      </c>
      <c r="AM31" s="411" t="str">
        <f t="shared" si="31"/>
        <v>0.6-0.8</v>
      </c>
      <c r="AN31" s="434">
        <v>6</v>
      </c>
      <c r="AO31" s="434">
        <v>4.3</v>
      </c>
      <c r="AP31" s="411" t="str">
        <f t="shared" si="32"/>
        <v>4.3-6</v>
      </c>
    </row>
    <row r="32" spans="1:49" s="407" customFormat="1">
      <c r="I32" s="408"/>
      <c r="J32" s="408"/>
      <c r="K32" s="408"/>
      <c r="L32" s="408"/>
      <c r="M32" s="408"/>
      <c r="N32" s="412" t="s">
        <v>12</v>
      </c>
      <c r="O32" s="413"/>
      <c r="P32" s="434">
        <v>128</v>
      </c>
      <c r="Q32" s="434">
        <v>35.9</v>
      </c>
      <c r="R32" s="411" t="str">
        <f t="shared" si="25"/>
        <v>35.9-128</v>
      </c>
      <c r="S32" s="434">
        <v>2.1</v>
      </c>
      <c r="T32" s="434">
        <v>1.5</v>
      </c>
      <c r="U32" s="411" t="str">
        <f t="shared" si="26"/>
        <v>1.5-2.1</v>
      </c>
      <c r="V32" s="434">
        <v>6.8</v>
      </c>
      <c r="W32" s="434">
        <v>3.4</v>
      </c>
      <c r="X32" s="411" t="str">
        <f t="shared" si="27"/>
        <v>3.4-6.8</v>
      </c>
      <c r="Y32" s="434">
        <v>11.6</v>
      </c>
      <c r="Z32" s="434">
        <v>3.3</v>
      </c>
      <c r="AA32" s="411" t="str">
        <f>Z32&amp;"-"&amp;Y32</f>
        <v>3.3-11.6</v>
      </c>
      <c r="AB32" s="434">
        <v>3.4</v>
      </c>
      <c r="AC32" s="434">
        <v>0.7</v>
      </c>
      <c r="AD32" s="411" t="str">
        <f t="shared" si="28"/>
        <v>0.7-3.4</v>
      </c>
      <c r="AE32" s="434">
        <v>10</v>
      </c>
      <c r="AF32" s="434">
        <v>2.8</v>
      </c>
      <c r="AG32" s="411" t="str">
        <f t="shared" si="29"/>
        <v>2.8-10</v>
      </c>
      <c r="AH32" s="434">
        <v>46.5</v>
      </c>
      <c r="AI32" s="434">
        <v>13</v>
      </c>
      <c r="AJ32" s="411" t="str">
        <f t="shared" si="30"/>
        <v>13-46.5</v>
      </c>
      <c r="AK32" s="434">
        <v>1.2</v>
      </c>
      <c r="AL32" s="434">
        <v>0.8</v>
      </c>
      <c r="AM32" s="411" t="str">
        <f t="shared" si="31"/>
        <v>0.8-1.2</v>
      </c>
      <c r="AN32" s="434">
        <v>8.5</v>
      </c>
      <c r="AO32" s="434">
        <v>6.1</v>
      </c>
      <c r="AP32" s="411" t="str">
        <f t="shared" si="32"/>
        <v>6.1-8.5</v>
      </c>
    </row>
    <row r="33" spans="1:42" s="407" customFormat="1">
      <c r="I33" s="408"/>
      <c r="J33" s="408"/>
      <c r="K33" s="408"/>
      <c r="L33" s="408"/>
      <c r="M33" s="408"/>
      <c r="N33" s="412" t="s">
        <v>13</v>
      </c>
      <c r="O33" s="413"/>
      <c r="P33" s="434">
        <v>287</v>
      </c>
      <c r="Q33" s="434">
        <v>80.400000000000006</v>
      </c>
      <c r="R33" s="411" t="str">
        <f t="shared" si="25"/>
        <v>80.4-287</v>
      </c>
      <c r="S33" s="434">
        <v>4.5999999999999996</v>
      </c>
      <c r="T33" s="434">
        <v>3.3</v>
      </c>
      <c r="U33" s="411" t="str">
        <f t="shared" si="26"/>
        <v>3.3-4.6</v>
      </c>
      <c r="V33" s="434">
        <v>15.2</v>
      </c>
      <c r="W33" s="434">
        <v>7.6</v>
      </c>
      <c r="X33" s="411" t="str">
        <f t="shared" si="27"/>
        <v>7.6-15.2</v>
      </c>
      <c r="Y33" s="434">
        <v>26</v>
      </c>
      <c r="Z33" s="434">
        <v>7.3</v>
      </c>
      <c r="AA33" s="411" t="str">
        <f>Z33&amp;"-"&amp;Y33</f>
        <v>7.3-26</v>
      </c>
      <c r="AB33" s="434">
        <v>7.6</v>
      </c>
      <c r="AC33" s="434">
        <v>1.5</v>
      </c>
      <c r="AD33" s="411" t="str">
        <f t="shared" si="28"/>
        <v>1.5-7.6</v>
      </c>
      <c r="AE33" s="434">
        <v>22.5</v>
      </c>
      <c r="AF33" s="434">
        <v>6.3</v>
      </c>
      <c r="AG33" s="411" t="str">
        <f t="shared" si="29"/>
        <v>6.3-22.5</v>
      </c>
      <c r="AH33" s="434">
        <v>104.4</v>
      </c>
      <c r="AI33" s="434">
        <v>29.2</v>
      </c>
      <c r="AJ33" s="411" t="str">
        <f t="shared" si="30"/>
        <v>29.2-104.4</v>
      </c>
      <c r="AK33" s="434">
        <v>2.6</v>
      </c>
      <c r="AL33" s="434">
        <v>1.8</v>
      </c>
      <c r="AM33" s="411" t="str">
        <f t="shared" si="31"/>
        <v>1.8-2.6</v>
      </c>
      <c r="AN33" s="434">
        <v>19.100000000000001</v>
      </c>
      <c r="AO33" s="434">
        <v>13.7</v>
      </c>
      <c r="AP33" s="411" t="str">
        <f t="shared" si="32"/>
        <v>13.7-19.1</v>
      </c>
    </row>
    <row r="34" spans="1:42" s="401" customFormat="1">
      <c r="D34" s="368"/>
      <c r="I34" s="368"/>
      <c r="J34" s="368"/>
      <c r="K34" s="368"/>
      <c r="L34" s="368"/>
      <c r="M34" s="368"/>
      <c r="N34" s="371" t="s">
        <v>4</v>
      </c>
      <c r="O34" s="403"/>
      <c r="P34" s="434">
        <v>92</v>
      </c>
      <c r="Q34" s="434">
        <v>25.8</v>
      </c>
      <c r="R34" s="411" t="str">
        <f t="shared" si="25"/>
        <v>25.8-92</v>
      </c>
      <c r="S34" s="434">
        <v>1.5</v>
      </c>
      <c r="T34" s="434">
        <v>1.1000000000000001</v>
      </c>
      <c r="U34" s="411" t="str">
        <f t="shared" si="26"/>
        <v>1.1-1.5</v>
      </c>
      <c r="V34" s="434">
        <v>4.9000000000000004</v>
      </c>
      <c r="W34" s="434">
        <v>2.4</v>
      </c>
      <c r="X34" s="411" t="str">
        <f t="shared" si="27"/>
        <v>2.4-4.9</v>
      </c>
      <c r="Y34" s="434">
        <v>8.3000000000000007</v>
      </c>
      <c r="Z34" s="434">
        <v>2.2999999999999998</v>
      </c>
      <c r="AA34" s="402" t="str">
        <f>Z34&amp;"-"&amp;Y34</f>
        <v>2.3-8.3</v>
      </c>
      <c r="AB34" s="434">
        <v>2.4</v>
      </c>
      <c r="AC34" s="434">
        <v>0.5</v>
      </c>
      <c r="AD34" s="411" t="str">
        <f t="shared" si="28"/>
        <v>0.5-2.4</v>
      </c>
      <c r="AE34" s="434">
        <v>7.2</v>
      </c>
      <c r="AF34" s="434">
        <v>2</v>
      </c>
      <c r="AG34" s="411" t="str">
        <f t="shared" si="29"/>
        <v>2-7.2</v>
      </c>
      <c r="AH34" s="434">
        <v>33.5</v>
      </c>
      <c r="AI34" s="434">
        <v>9.4</v>
      </c>
      <c r="AJ34" s="411" t="str">
        <f t="shared" si="30"/>
        <v>9.4-33.5</v>
      </c>
      <c r="AK34" s="434">
        <v>0.8</v>
      </c>
      <c r="AL34" s="434">
        <v>0.6</v>
      </c>
      <c r="AM34" s="411" t="str">
        <f t="shared" si="31"/>
        <v>0.6-0.8</v>
      </c>
      <c r="AN34" s="434">
        <v>6.1</v>
      </c>
      <c r="AO34" s="434">
        <v>4.4000000000000004</v>
      </c>
      <c r="AP34" s="411" t="str">
        <f t="shared" si="32"/>
        <v>4.4-6.1</v>
      </c>
    </row>
    <row r="35" spans="1:42" s="401" customFormat="1">
      <c r="B35" s="401">
        <f>C4/1.4</f>
        <v>61.72943416395767</v>
      </c>
      <c r="E35" s="401">
        <f>86*4.2</f>
        <v>361.2</v>
      </c>
      <c r="F35" s="401">
        <f>E35/60</f>
        <v>6.02</v>
      </c>
      <c r="I35" s="368"/>
      <c r="J35" s="368"/>
      <c r="K35" s="368"/>
      <c r="L35" s="368"/>
      <c r="M35" s="368"/>
      <c r="N35" s="371" t="s">
        <v>5</v>
      </c>
      <c r="O35" s="403"/>
      <c r="P35" s="434">
        <v>80.099999999999994</v>
      </c>
      <c r="Q35" s="434">
        <v>22.4</v>
      </c>
      <c r="R35" s="411" t="str">
        <f t="shared" si="25"/>
        <v>22.4-80.1</v>
      </c>
      <c r="S35" s="434">
        <v>1.3</v>
      </c>
      <c r="T35" s="434">
        <v>0.9</v>
      </c>
      <c r="U35" s="411" t="str">
        <f t="shared" si="26"/>
        <v>0.9-1.3</v>
      </c>
      <c r="V35" s="434">
        <v>4.2</v>
      </c>
      <c r="W35" s="434">
        <v>2.1</v>
      </c>
      <c r="X35" s="411" t="str">
        <f t="shared" si="27"/>
        <v>2.1-4.2</v>
      </c>
      <c r="Y35" s="434">
        <v>7.3</v>
      </c>
      <c r="Z35" s="434">
        <v>2</v>
      </c>
      <c r="AA35" s="402" t="str">
        <f t="shared" ref="AA35:AA48" si="33">Z35&amp;"-"&amp;Y35</f>
        <v>2-7.3</v>
      </c>
      <c r="AB35" s="434">
        <v>2.1</v>
      </c>
      <c r="AC35" s="434">
        <v>0.4</v>
      </c>
      <c r="AD35" s="411" t="str">
        <f t="shared" si="28"/>
        <v>0.4-2.1</v>
      </c>
      <c r="AE35" s="434">
        <v>6.3</v>
      </c>
      <c r="AF35" s="434">
        <v>1.8</v>
      </c>
      <c r="AG35" s="411" t="str">
        <f t="shared" si="29"/>
        <v>1.8-6.3</v>
      </c>
      <c r="AH35" s="434">
        <v>29.1</v>
      </c>
      <c r="AI35" s="434">
        <v>8.1999999999999993</v>
      </c>
      <c r="AJ35" s="411" t="str">
        <f t="shared" si="30"/>
        <v>8.2-29.1</v>
      </c>
      <c r="AK35" s="434">
        <v>0.7</v>
      </c>
      <c r="AL35" s="434">
        <v>0.5</v>
      </c>
      <c r="AM35" s="411" t="str">
        <f t="shared" si="31"/>
        <v>0.5-0.7</v>
      </c>
      <c r="AN35" s="434">
        <v>5.3</v>
      </c>
      <c r="AO35" s="434">
        <v>3.8</v>
      </c>
      <c r="AP35" s="411" t="str">
        <f t="shared" si="32"/>
        <v>3.8-5.3</v>
      </c>
    </row>
    <row r="36" spans="1:42" s="401" customFormat="1">
      <c r="B36" s="401">
        <f>C4*C39</f>
        <v>3707.4698158872975</v>
      </c>
      <c r="E36" s="401">
        <f>E35/60</f>
        <v>6.02</v>
      </c>
      <c r="I36" s="368"/>
      <c r="J36" s="368"/>
      <c r="K36" s="368"/>
      <c r="L36" s="368"/>
      <c r="M36" s="368"/>
      <c r="N36" s="371" t="s">
        <v>6</v>
      </c>
      <c r="O36" s="403"/>
      <c r="P36" s="434">
        <v>122.8</v>
      </c>
      <c r="Q36" s="434">
        <v>34.4</v>
      </c>
      <c r="R36" s="411" t="str">
        <f t="shared" si="25"/>
        <v>34.4-122.8</v>
      </c>
      <c r="S36" s="434">
        <v>2</v>
      </c>
      <c r="T36" s="434">
        <v>1.4</v>
      </c>
      <c r="U36" s="411" t="str">
        <f t="shared" si="26"/>
        <v>1.4-2</v>
      </c>
      <c r="V36" s="434">
        <v>6.5</v>
      </c>
      <c r="W36" s="434">
        <v>3.2</v>
      </c>
      <c r="X36" s="411" t="str">
        <f t="shared" si="27"/>
        <v>3.2-6.5</v>
      </c>
      <c r="Y36" s="434">
        <v>11.1</v>
      </c>
      <c r="Z36" s="434">
        <v>3.1</v>
      </c>
      <c r="AA36" s="402" t="str">
        <f t="shared" si="33"/>
        <v>3.1-11.1</v>
      </c>
      <c r="AB36" s="434">
        <v>3.3</v>
      </c>
      <c r="AC36" s="434">
        <v>0.6</v>
      </c>
      <c r="AD36" s="411" t="str">
        <f t="shared" si="28"/>
        <v>0.6-3.3</v>
      </c>
      <c r="AE36" s="434">
        <v>9.6</v>
      </c>
      <c r="AF36" s="434">
        <v>2.7</v>
      </c>
      <c r="AG36" s="411" t="str">
        <f t="shared" si="29"/>
        <v>2.7-9.6</v>
      </c>
      <c r="AH36" s="434">
        <v>44.7</v>
      </c>
      <c r="AI36" s="434">
        <v>12.5</v>
      </c>
      <c r="AJ36" s="411" t="str">
        <f t="shared" si="30"/>
        <v>12.5-44.7</v>
      </c>
      <c r="AK36" s="434">
        <v>1.1000000000000001</v>
      </c>
      <c r="AL36" s="434">
        <v>0.8</v>
      </c>
      <c r="AM36" s="411" t="str">
        <f t="shared" si="31"/>
        <v>0.8-1.1</v>
      </c>
      <c r="AN36" s="434">
        <v>8.1999999999999993</v>
      </c>
      <c r="AO36" s="434">
        <v>5.8</v>
      </c>
      <c r="AP36" s="411" t="str">
        <f t="shared" si="32"/>
        <v>5.8-8.2</v>
      </c>
    </row>
    <row r="37" spans="1:42" s="401" customFormat="1">
      <c r="I37" s="368"/>
      <c r="J37" s="368"/>
      <c r="K37" s="368"/>
      <c r="L37" s="368"/>
      <c r="M37" s="368"/>
      <c r="N37" s="371" t="s">
        <v>7</v>
      </c>
      <c r="O37" s="403"/>
      <c r="P37" s="434">
        <v>89.1</v>
      </c>
      <c r="Q37" s="434">
        <v>25</v>
      </c>
      <c r="R37" s="411" t="str">
        <f t="shared" si="25"/>
        <v>25-89.1</v>
      </c>
      <c r="S37" s="434">
        <v>1.4</v>
      </c>
      <c r="T37" s="434">
        <v>1</v>
      </c>
      <c r="U37" s="411" t="str">
        <f t="shared" si="26"/>
        <v>1-1.4</v>
      </c>
      <c r="V37" s="434">
        <v>4.7</v>
      </c>
      <c r="W37" s="434">
        <v>2.4</v>
      </c>
      <c r="X37" s="411" t="str">
        <f t="shared" si="27"/>
        <v>2.4-4.7</v>
      </c>
      <c r="Y37" s="434">
        <v>8.1</v>
      </c>
      <c r="Z37" s="434">
        <v>2.2999999999999998</v>
      </c>
      <c r="AA37" s="402" t="str">
        <f t="shared" si="33"/>
        <v>2.3-8.1</v>
      </c>
      <c r="AB37" s="434">
        <v>2.4</v>
      </c>
      <c r="AC37" s="434">
        <v>0.5</v>
      </c>
      <c r="AD37" s="411" t="str">
        <f t="shared" si="28"/>
        <v>0.5-2.4</v>
      </c>
      <c r="AE37" s="434">
        <v>7</v>
      </c>
      <c r="AF37" s="434">
        <v>2</v>
      </c>
      <c r="AG37" s="411" t="str">
        <f t="shared" si="29"/>
        <v>2-7</v>
      </c>
      <c r="AH37" s="434">
        <v>32.4</v>
      </c>
      <c r="AI37" s="434">
        <v>9.1</v>
      </c>
      <c r="AJ37" s="411" t="str">
        <f t="shared" si="30"/>
        <v>9.1-32.4</v>
      </c>
      <c r="AK37" s="434">
        <v>0.8</v>
      </c>
      <c r="AL37" s="434">
        <v>0.6</v>
      </c>
      <c r="AM37" s="411" t="str">
        <f t="shared" si="31"/>
        <v>0.6-0.8</v>
      </c>
      <c r="AN37" s="434">
        <v>5.9</v>
      </c>
      <c r="AO37" s="434">
        <v>4.2</v>
      </c>
      <c r="AP37" s="411" t="str">
        <f t="shared" si="32"/>
        <v>4.2-5.9</v>
      </c>
    </row>
    <row r="38" spans="1:42" s="401" customFormat="1">
      <c r="I38" s="368"/>
      <c r="J38" s="368"/>
      <c r="K38" s="368"/>
      <c r="L38" s="368"/>
      <c r="M38" s="368"/>
      <c r="N38" s="371" t="s">
        <v>8</v>
      </c>
      <c r="O38" s="403"/>
      <c r="P38" s="434">
        <v>64.3</v>
      </c>
      <c r="Q38" s="434">
        <v>18</v>
      </c>
      <c r="R38" s="411" t="str">
        <f t="shared" si="25"/>
        <v>18-64.3</v>
      </c>
      <c r="S38" s="434">
        <v>1</v>
      </c>
      <c r="T38" s="434">
        <v>0.7</v>
      </c>
      <c r="U38" s="411" t="str">
        <f t="shared" si="26"/>
        <v>0.7-1</v>
      </c>
      <c r="V38" s="434">
        <v>3.4</v>
      </c>
      <c r="W38" s="434">
        <v>1.7</v>
      </c>
      <c r="X38" s="411" t="str">
        <f t="shared" si="27"/>
        <v>1.7-3.4</v>
      </c>
      <c r="Y38" s="434">
        <v>5.8</v>
      </c>
      <c r="Z38" s="434">
        <v>1.6</v>
      </c>
      <c r="AA38" s="402" t="str">
        <f t="shared" si="33"/>
        <v>1.6-5.8</v>
      </c>
      <c r="AB38" s="434">
        <v>1.7</v>
      </c>
      <c r="AC38" s="434">
        <v>0.3</v>
      </c>
      <c r="AD38" s="411" t="str">
        <f t="shared" si="28"/>
        <v>0.3-1.7</v>
      </c>
      <c r="AE38" s="434">
        <v>5</v>
      </c>
      <c r="AF38" s="434">
        <v>1.4</v>
      </c>
      <c r="AG38" s="411" t="str">
        <f t="shared" si="29"/>
        <v>1.4-5</v>
      </c>
      <c r="AH38" s="434">
        <v>23.4</v>
      </c>
      <c r="AI38" s="434">
        <v>6.5</v>
      </c>
      <c r="AJ38" s="411" t="str">
        <f t="shared" si="30"/>
        <v>6.5-23.4</v>
      </c>
      <c r="AK38" s="434">
        <v>0.6</v>
      </c>
      <c r="AL38" s="434">
        <v>0.4</v>
      </c>
      <c r="AM38" s="411" t="str">
        <f t="shared" si="31"/>
        <v>0.4-0.6</v>
      </c>
      <c r="AN38" s="434">
        <v>4.3</v>
      </c>
      <c r="AO38" s="434">
        <v>3.1</v>
      </c>
      <c r="AP38" s="411" t="str">
        <f t="shared" si="32"/>
        <v>3.1-4.3</v>
      </c>
    </row>
    <row r="39" spans="1:42" s="401" customFormat="1">
      <c r="B39" s="401">
        <v>86</v>
      </c>
      <c r="C39" s="401">
        <v>42.9</v>
      </c>
      <c r="D39" s="401">
        <f>B39*C39</f>
        <v>3689.4</v>
      </c>
      <c r="I39" s="368"/>
      <c r="J39" s="368"/>
      <c r="K39" s="368"/>
      <c r="L39" s="368"/>
      <c r="M39" s="368"/>
      <c r="N39" s="371" t="s">
        <v>14</v>
      </c>
      <c r="O39" s="403"/>
      <c r="P39" s="434">
        <v>124.8</v>
      </c>
      <c r="Q39" s="434">
        <v>35</v>
      </c>
      <c r="R39" s="411" t="str">
        <f t="shared" si="25"/>
        <v>35-124.8</v>
      </c>
      <c r="S39" s="434">
        <v>2</v>
      </c>
      <c r="T39" s="434">
        <v>1.4</v>
      </c>
      <c r="U39" s="411" t="str">
        <f t="shared" si="26"/>
        <v>1.4-2</v>
      </c>
      <c r="V39" s="434">
        <v>6.6</v>
      </c>
      <c r="W39" s="434">
        <v>3.3</v>
      </c>
      <c r="X39" s="411" t="str">
        <f t="shared" si="27"/>
        <v>3.3-6.6</v>
      </c>
      <c r="Y39" s="434">
        <v>11.3</v>
      </c>
      <c r="Z39" s="434">
        <v>3.2</v>
      </c>
      <c r="AA39" s="402" t="str">
        <f t="shared" si="33"/>
        <v>3.2-11.3</v>
      </c>
      <c r="AB39" s="434">
        <v>3.3</v>
      </c>
      <c r="AC39" s="434">
        <v>0.6</v>
      </c>
      <c r="AD39" s="411" t="str">
        <f t="shared" si="28"/>
        <v>0.6-3.3</v>
      </c>
      <c r="AE39" s="434">
        <v>9.8000000000000007</v>
      </c>
      <c r="AF39" s="434">
        <v>2.7</v>
      </c>
      <c r="AG39" s="411" t="str">
        <f t="shared" si="29"/>
        <v>2.7-9.8</v>
      </c>
      <c r="AH39" s="434">
        <v>45.4</v>
      </c>
      <c r="AI39" s="434">
        <v>12.7</v>
      </c>
      <c r="AJ39" s="411" t="str">
        <f t="shared" si="30"/>
        <v>12.7-45.4</v>
      </c>
      <c r="AK39" s="434">
        <v>1.1000000000000001</v>
      </c>
      <c r="AL39" s="434">
        <v>0.8</v>
      </c>
      <c r="AM39" s="411" t="str">
        <f t="shared" si="31"/>
        <v>0.8-1.1</v>
      </c>
      <c r="AN39" s="434">
        <v>8.3000000000000007</v>
      </c>
      <c r="AO39" s="434">
        <v>5.9</v>
      </c>
      <c r="AP39" s="411" t="str">
        <f t="shared" si="32"/>
        <v>5.9-8.3</v>
      </c>
    </row>
    <row r="40" spans="1:42" s="401" customFormat="1">
      <c r="C40" s="401">
        <f>C39+4.2</f>
        <v>47.1</v>
      </c>
      <c r="D40" s="401">
        <f>C39*C40</f>
        <v>2020.59</v>
      </c>
      <c r="I40" s="368"/>
      <c r="J40" s="368"/>
      <c r="K40" s="368"/>
      <c r="L40" s="368"/>
      <c r="M40" s="368"/>
      <c r="N40" s="371" t="s">
        <v>15</v>
      </c>
      <c r="O40" s="403"/>
      <c r="P40" s="434">
        <v>92</v>
      </c>
      <c r="Q40" s="434">
        <v>25.8</v>
      </c>
      <c r="R40" s="411" t="str">
        <f t="shared" si="25"/>
        <v>25.8-92</v>
      </c>
      <c r="S40" s="434">
        <v>1.5</v>
      </c>
      <c r="T40" s="434">
        <v>1.1000000000000001</v>
      </c>
      <c r="U40" s="411" t="str">
        <f t="shared" si="26"/>
        <v>1.1-1.5</v>
      </c>
      <c r="V40" s="434">
        <v>4.9000000000000004</v>
      </c>
      <c r="W40" s="434">
        <v>2.4</v>
      </c>
      <c r="X40" s="411" t="str">
        <f t="shared" si="27"/>
        <v>2.4-4.9</v>
      </c>
      <c r="Y40" s="434">
        <v>8.3000000000000007</v>
      </c>
      <c r="Z40" s="434">
        <v>2.2999999999999998</v>
      </c>
      <c r="AA40" s="402" t="str">
        <f t="shared" si="33"/>
        <v>2.3-8.3</v>
      </c>
      <c r="AB40" s="434">
        <v>2.4</v>
      </c>
      <c r="AC40" s="434">
        <v>0.5</v>
      </c>
      <c r="AD40" s="411" t="str">
        <f t="shared" si="28"/>
        <v>0.5-2.4</v>
      </c>
      <c r="AE40" s="434">
        <v>7.2</v>
      </c>
      <c r="AF40" s="434">
        <v>2</v>
      </c>
      <c r="AG40" s="411" t="str">
        <f t="shared" si="29"/>
        <v>2-7.2</v>
      </c>
      <c r="AH40" s="434">
        <v>33.5</v>
      </c>
      <c r="AI40" s="434">
        <v>9.4</v>
      </c>
      <c r="AJ40" s="411" t="str">
        <f t="shared" si="30"/>
        <v>9.4-33.5</v>
      </c>
      <c r="AK40" s="434">
        <v>0.8</v>
      </c>
      <c r="AL40" s="434">
        <v>0.6</v>
      </c>
      <c r="AM40" s="411" t="str">
        <f t="shared" si="31"/>
        <v>0.6-0.8</v>
      </c>
      <c r="AN40" s="434">
        <v>6.1</v>
      </c>
      <c r="AO40" s="434">
        <v>4.4000000000000004</v>
      </c>
      <c r="AP40" s="411" t="str">
        <f t="shared" si="32"/>
        <v>4.4-6.1</v>
      </c>
    </row>
    <row r="41" spans="1:42" s="401" customFormat="1">
      <c r="I41" s="368"/>
      <c r="J41" s="368"/>
      <c r="K41" s="368"/>
      <c r="L41" s="368"/>
      <c r="M41" s="368"/>
      <c r="N41" s="371" t="s">
        <v>16</v>
      </c>
      <c r="O41" s="403"/>
      <c r="P41" s="434">
        <v>55</v>
      </c>
      <c r="Q41" s="434">
        <v>15.4</v>
      </c>
      <c r="R41" s="411" t="str">
        <f t="shared" si="25"/>
        <v>15.4-55</v>
      </c>
      <c r="S41" s="434">
        <v>0.9</v>
      </c>
      <c r="T41" s="434">
        <v>0.6</v>
      </c>
      <c r="U41" s="411" t="str">
        <f t="shared" si="26"/>
        <v>0.6-0.9</v>
      </c>
      <c r="V41" s="434">
        <v>2.9</v>
      </c>
      <c r="W41" s="434">
        <v>1.5</v>
      </c>
      <c r="X41" s="411" t="str">
        <f t="shared" si="27"/>
        <v>1.5-2.9</v>
      </c>
      <c r="Y41" s="434">
        <v>5</v>
      </c>
      <c r="Z41" s="434">
        <v>1.4</v>
      </c>
      <c r="AA41" s="402" t="str">
        <f t="shared" si="33"/>
        <v>1.4-5</v>
      </c>
      <c r="AB41" s="434">
        <v>1.5</v>
      </c>
      <c r="AC41" s="434">
        <v>0.3</v>
      </c>
      <c r="AD41" s="411" t="str">
        <f t="shared" si="28"/>
        <v>0.3-1.5</v>
      </c>
      <c r="AE41" s="434">
        <v>4.3</v>
      </c>
      <c r="AF41" s="434">
        <v>1.2</v>
      </c>
      <c r="AG41" s="411" t="str">
        <f t="shared" si="29"/>
        <v>1.2-4.3</v>
      </c>
      <c r="AH41" s="434">
        <v>20</v>
      </c>
      <c r="AI41" s="434">
        <v>5.6</v>
      </c>
      <c r="AJ41" s="411" t="str">
        <f t="shared" si="30"/>
        <v>5.6-20</v>
      </c>
      <c r="AK41" s="434">
        <v>0.5</v>
      </c>
      <c r="AL41" s="434">
        <v>0.4</v>
      </c>
      <c r="AM41" s="411" t="str">
        <f t="shared" si="31"/>
        <v>0.4-0.5</v>
      </c>
      <c r="AN41" s="434">
        <v>3.7</v>
      </c>
      <c r="AO41" s="434">
        <v>2.6</v>
      </c>
      <c r="AP41" s="411" t="str">
        <f t="shared" si="32"/>
        <v>2.6-3.7</v>
      </c>
    </row>
    <row r="42" spans="1:42" s="401" customFormat="1">
      <c r="B42" s="401">
        <v>12</v>
      </c>
      <c r="I42" s="368"/>
      <c r="J42" s="368"/>
      <c r="K42" s="368"/>
      <c r="L42" s="368"/>
      <c r="M42" s="368"/>
      <c r="N42" s="371" t="s">
        <v>17</v>
      </c>
      <c r="O42" s="403"/>
      <c r="P42" s="434">
        <v>48.7</v>
      </c>
      <c r="Q42" s="434">
        <v>13.6</v>
      </c>
      <c r="R42" s="411" t="str">
        <f t="shared" si="25"/>
        <v>13.6-48.7</v>
      </c>
      <c r="S42" s="434">
        <v>0.8</v>
      </c>
      <c r="T42" s="434">
        <v>0.6</v>
      </c>
      <c r="U42" s="411" t="str">
        <f t="shared" si="26"/>
        <v>0.6-0.8</v>
      </c>
      <c r="V42" s="434">
        <v>2.6</v>
      </c>
      <c r="W42" s="434">
        <v>1.3</v>
      </c>
      <c r="X42" s="411" t="str">
        <f t="shared" si="27"/>
        <v>1.3-2.6</v>
      </c>
      <c r="Y42" s="434">
        <v>4.4000000000000004</v>
      </c>
      <c r="Z42" s="434">
        <v>1.2</v>
      </c>
      <c r="AA42" s="402" t="str">
        <f t="shared" si="33"/>
        <v>1.2-4.4</v>
      </c>
      <c r="AB42" s="434">
        <v>1.3</v>
      </c>
      <c r="AC42" s="434">
        <v>0.2</v>
      </c>
      <c r="AD42" s="411" t="str">
        <f t="shared" si="28"/>
        <v>0.2-1.3</v>
      </c>
      <c r="AE42" s="434">
        <v>3.8</v>
      </c>
      <c r="AF42" s="434">
        <v>1.1000000000000001</v>
      </c>
      <c r="AG42" s="411" t="str">
        <f t="shared" si="29"/>
        <v>1.1-3.8</v>
      </c>
      <c r="AH42" s="434">
        <v>17.7</v>
      </c>
      <c r="AI42" s="434">
        <v>5</v>
      </c>
      <c r="AJ42" s="411" t="str">
        <f t="shared" si="30"/>
        <v>5-17.7</v>
      </c>
      <c r="AK42" s="434">
        <v>0.4</v>
      </c>
      <c r="AL42" s="434">
        <v>0.3</v>
      </c>
      <c r="AM42" s="411" t="str">
        <f t="shared" si="31"/>
        <v>0.3-0.4</v>
      </c>
      <c r="AN42" s="434">
        <v>3.2</v>
      </c>
      <c r="AO42" s="434">
        <v>2.2999999999999998</v>
      </c>
      <c r="AP42" s="411" t="str">
        <f t="shared" si="32"/>
        <v>2.3-3.2</v>
      </c>
    </row>
    <row r="43" spans="1:42" s="401" customFormat="1">
      <c r="A43" s="401">
        <v>582</v>
      </c>
      <c r="B43" s="401">
        <v>0.2</v>
      </c>
      <c r="C43" s="401">
        <v>0.4</v>
      </c>
      <c r="D43" s="401">
        <f>A43*B43/C43</f>
        <v>291</v>
      </c>
      <c r="E43" s="401">
        <v>60</v>
      </c>
      <c r="F43" s="401">
        <f>D43/E43</f>
        <v>4.8499999999999996</v>
      </c>
      <c r="I43" s="368"/>
      <c r="J43" s="368"/>
      <c r="K43" s="368"/>
      <c r="L43" s="368"/>
      <c r="M43" s="368"/>
      <c r="N43" s="371" t="s">
        <v>18</v>
      </c>
      <c r="O43" s="403"/>
      <c r="P43" s="434">
        <v>60.1</v>
      </c>
      <c r="Q43" s="434">
        <v>16.8</v>
      </c>
      <c r="R43" s="411" t="str">
        <f t="shared" si="25"/>
        <v>16.8-60.1</v>
      </c>
      <c r="S43" s="434">
        <v>1</v>
      </c>
      <c r="T43" s="434">
        <v>0.7</v>
      </c>
      <c r="U43" s="411" t="str">
        <f t="shared" si="26"/>
        <v>0.7-1</v>
      </c>
      <c r="V43" s="434">
        <v>3.2</v>
      </c>
      <c r="W43" s="434">
        <v>1.6</v>
      </c>
      <c r="X43" s="411" t="str">
        <f t="shared" si="27"/>
        <v>1.6-3.2</v>
      </c>
      <c r="Y43" s="434">
        <v>5.5</v>
      </c>
      <c r="Z43" s="434">
        <v>1.5</v>
      </c>
      <c r="AA43" s="402" t="str">
        <f t="shared" si="33"/>
        <v>1.5-5.5</v>
      </c>
      <c r="AB43" s="434">
        <v>1.6</v>
      </c>
      <c r="AC43" s="434">
        <v>0.3</v>
      </c>
      <c r="AD43" s="411" t="str">
        <f t="shared" si="28"/>
        <v>0.3-1.6</v>
      </c>
      <c r="AE43" s="434">
        <v>4.7</v>
      </c>
      <c r="AF43" s="434">
        <v>1.3</v>
      </c>
      <c r="AG43" s="411" t="str">
        <f t="shared" si="29"/>
        <v>1.3-4.7</v>
      </c>
      <c r="AH43" s="434">
        <v>21.9</v>
      </c>
      <c r="AI43" s="434">
        <v>6.1</v>
      </c>
      <c r="AJ43" s="411" t="str">
        <f t="shared" si="30"/>
        <v>6.1-21.9</v>
      </c>
      <c r="AK43" s="434">
        <v>0.5</v>
      </c>
      <c r="AL43" s="434">
        <v>0.4</v>
      </c>
      <c r="AM43" s="411" t="str">
        <f t="shared" si="31"/>
        <v>0.4-0.5</v>
      </c>
      <c r="AN43" s="434">
        <v>4</v>
      </c>
      <c r="AO43" s="434">
        <v>2.9</v>
      </c>
      <c r="AP43" s="411" t="str">
        <f t="shared" si="32"/>
        <v>2.9-4</v>
      </c>
    </row>
    <row r="44" spans="1:42" s="401" customFormat="1">
      <c r="A44" s="401">
        <v>582</v>
      </c>
      <c r="B44" s="401">
        <v>5</v>
      </c>
      <c r="D44" s="401">
        <f>A44/B44/C43</f>
        <v>291</v>
      </c>
      <c r="E44" s="401">
        <v>60</v>
      </c>
      <c r="F44" s="401">
        <f t="shared" ref="F44:F46" si="34">D44/E44</f>
        <v>4.8499999999999996</v>
      </c>
      <c r="I44" s="368"/>
      <c r="J44" s="368"/>
      <c r="K44" s="368"/>
      <c r="L44" s="368"/>
      <c r="M44" s="368"/>
      <c r="N44" s="371" t="s">
        <v>19</v>
      </c>
      <c r="O44" s="403"/>
      <c r="P44" s="434">
        <v>76.3</v>
      </c>
      <c r="Q44" s="434">
        <v>21.4</v>
      </c>
      <c r="R44" s="411" t="str">
        <f t="shared" si="25"/>
        <v>21.4-76.3</v>
      </c>
      <c r="S44" s="434">
        <v>1.2</v>
      </c>
      <c r="T44" s="434">
        <v>0.9</v>
      </c>
      <c r="U44" s="411" t="str">
        <f t="shared" si="26"/>
        <v>0.9-1.2</v>
      </c>
      <c r="V44" s="434">
        <v>4</v>
      </c>
      <c r="W44" s="434">
        <v>2</v>
      </c>
      <c r="X44" s="411" t="str">
        <f t="shared" si="27"/>
        <v>2-4</v>
      </c>
      <c r="Y44" s="434">
        <v>6.9</v>
      </c>
      <c r="Z44" s="434">
        <v>1.9</v>
      </c>
      <c r="AA44" s="402" t="str">
        <f t="shared" si="33"/>
        <v>1.9-6.9</v>
      </c>
      <c r="AB44" s="434">
        <v>2</v>
      </c>
      <c r="AC44" s="434">
        <v>0.4</v>
      </c>
      <c r="AD44" s="411" t="str">
        <f t="shared" si="28"/>
        <v>0.4-2</v>
      </c>
      <c r="AE44" s="434">
        <v>6</v>
      </c>
      <c r="AF44" s="434">
        <v>1.7</v>
      </c>
      <c r="AG44" s="411" t="str">
        <f t="shared" si="29"/>
        <v>1.7-6</v>
      </c>
      <c r="AH44" s="434">
        <v>27.7</v>
      </c>
      <c r="AI44" s="434">
        <v>7.8</v>
      </c>
      <c r="AJ44" s="411" t="str">
        <f t="shared" si="30"/>
        <v>7.8-27.7</v>
      </c>
      <c r="AK44" s="434">
        <v>0.7</v>
      </c>
      <c r="AL44" s="434">
        <v>0.5</v>
      </c>
      <c r="AM44" s="411" t="str">
        <f t="shared" si="31"/>
        <v>0.5-0.7</v>
      </c>
      <c r="AN44" s="434">
        <v>5.0999999999999996</v>
      </c>
      <c r="AO44" s="434">
        <v>3.6</v>
      </c>
      <c r="AP44" s="411" t="str">
        <f t="shared" si="32"/>
        <v>3.6-5.1</v>
      </c>
    </row>
    <row r="45" spans="1:42" s="401" customFormat="1">
      <c r="A45" s="401">
        <v>582</v>
      </c>
      <c r="B45" s="401">
        <v>1.4</v>
      </c>
      <c r="C45" s="401">
        <v>0.4</v>
      </c>
      <c r="D45" s="401">
        <f>A45*B45/C45</f>
        <v>2036.9999999999998</v>
      </c>
      <c r="E45" s="401">
        <v>60</v>
      </c>
      <c r="F45" s="401">
        <f t="shared" si="34"/>
        <v>33.949999999999996</v>
      </c>
      <c r="I45" s="368"/>
      <c r="J45" s="368"/>
      <c r="K45" s="368"/>
      <c r="L45" s="368"/>
      <c r="M45" s="368"/>
      <c r="N45" s="371" t="s">
        <v>20</v>
      </c>
      <c r="O45" s="403"/>
      <c r="P45" s="434">
        <v>61.8</v>
      </c>
      <c r="Q45" s="434">
        <v>17.3</v>
      </c>
      <c r="R45" s="411" t="str">
        <f t="shared" si="25"/>
        <v>17.3-61.8</v>
      </c>
      <c r="S45" s="434">
        <v>1</v>
      </c>
      <c r="T45" s="434">
        <v>0.7</v>
      </c>
      <c r="U45" s="411" t="str">
        <f t="shared" si="26"/>
        <v>0.7-1</v>
      </c>
      <c r="V45" s="434">
        <v>3.3</v>
      </c>
      <c r="W45" s="434">
        <v>1.6</v>
      </c>
      <c r="X45" s="411" t="str">
        <f t="shared" si="27"/>
        <v>1.6-3.3</v>
      </c>
      <c r="Y45" s="434">
        <v>5.6</v>
      </c>
      <c r="Z45" s="434">
        <v>1.6</v>
      </c>
      <c r="AA45" s="402" t="str">
        <f t="shared" si="33"/>
        <v>1.6-5.6</v>
      </c>
      <c r="AB45" s="434">
        <v>1.6</v>
      </c>
      <c r="AC45" s="434">
        <v>0.3</v>
      </c>
      <c r="AD45" s="411" t="str">
        <f t="shared" si="28"/>
        <v>0.3-1.6</v>
      </c>
      <c r="AE45" s="434">
        <v>4.8</v>
      </c>
      <c r="AF45" s="434">
        <v>1.4</v>
      </c>
      <c r="AG45" s="411" t="str">
        <f t="shared" si="29"/>
        <v>1.4-4.8</v>
      </c>
      <c r="AH45" s="434">
        <v>22.5</v>
      </c>
      <c r="AI45" s="434">
        <v>6.3</v>
      </c>
      <c r="AJ45" s="411" t="str">
        <f t="shared" si="30"/>
        <v>6.3-22.5</v>
      </c>
      <c r="AK45" s="434">
        <v>0.6</v>
      </c>
      <c r="AL45" s="434">
        <v>0.4</v>
      </c>
      <c r="AM45" s="411" t="str">
        <f t="shared" si="31"/>
        <v>0.4-0.6</v>
      </c>
      <c r="AN45" s="434">
        <v>4.0999999999999996</v>
      </c>
      <c r="AO45" s="434">
        <v>2.9</v>
      </c>
      <c r="AP45" s="411" t="str">
        <f t="shared" si="32"/>
        <v>2.9-4.1</v>
      </c>
    </row>
    <row r="46" spans="1:42" s="401" customFormat="1">
      <c r="A46" s="401">
        <v>582</v>
      </c>
      <c r="B46" s="418">
        <f>AW11</f>
        <v>0.7142857142857143</v>
      </c>
      <c r="D46" s="401">
        <f>A46/B46/C45</f>
        <v>2036.9999999999998</v>
      </c>
      <c r="E46" s="401">
        <v>60</v>
      </c>
      <c r="F46" s="401">
        <f t="shared" si="34"/>
        <v>33.949999999999996</v>
      </c>
      <c r="I46" s="368"/>
      <c r="J46" s="368"/>
      <c r="K46" s="368"/>
      <c r="L46" s="368"/>
      <c r="M46" s="368"/>
      <c r="N46" s="371" t="s">
        <v>41</v>
      </c>
      <c r="O46" s="403"/>
      <c r="P46" s="434">
        <v>83.9</v>
      </c>
      <c r="Q46" s="434">
        <v>23.5</v>
      </c>
      <c r="R46" s="411" t="str">
        <f t="shared" si="25"/>
        <v>23.5-83.9</v>
      </c>
      <c r="S46" s="434">
        <v>1.3</v>
      </c>
      <c r="T46" s="434">
        <v>1</v>
      </c>
      <c r="U46" s="411" t="str">
        <f t="shared" si="26"/>
        <v>1-1.3</v>
      </c>
      <c r="V46" s="434">
        <v>4.4000000000000004</v>
      </c>
      <c r="W46" s="434">
        <v>2.2000000000000002</v>
      </c>
      <c r="X46" s="411" t="str">
        <f t="shared" si="27"/>
        <v>2.2-4.4</v>
      </c>
      <c r="Y46" s="434">
        <v>7.6</v>
      </c>
      <c r="Z46" s="434">
        <v>2.1</v>
      </c>
      <c r="AA46" s="402" t="str">
        <f t="shared" si="33"/>
        <v>2.1-7.6</v>
      </c>
      <c r="AB46" s="434">
        <v>2.2000000000000002</v>
      </c>
      <c r="AC46" s="434">
        <v>0.4</v>
      </c>
      <c r="AD46" s="411" t="str">
        <f t="shared" si="28"/>
        <v>0.4-2.2</v>
      </c>
      <c r="AE46" s="434">
        <v>6.6</v>
      </c>
      <c r="AF46" s="434">
        <v>1.8</v>
      </c>
      <c r="AG46" s="411" t="str">
        <f t="shared" si="29"/>
        <v>1.8-6.6</v>
      </c>
      <c r="AH46" s="434">
        <v>30.5</v>
      </c>
      <c r="AI46" s="434">
        <v>8.5</v>
      </c>
      <c r="AJ46" s="411" t="str">
        <f t="shared" si="30"/>
        <v>8.5-30.5</v>
      </c>
      <c r="AK46" s="434">
        <v>0.8</v>
      </c>
      <c r="AL46" s="434">
        <v>0.5</v>
      </c>
      <c r="AM46" s="411" t="str">
        <f t="shared" si="31"/>
        <v>0.5-0.8</v>
      </c>
      <c r="AN46" s="434">
        <v>5.6</v>
      </c>
      <c r="AO46" s="434">
        <v>4</v>
      </c>
      <c r="AP46" s="411" t="str">
        <f t="shared" si="32"/>
        <v>4-5.6</v>
      </c>
    </row>
    <row r="47" spans="1:42" s="401" customFormat="1">
      <c r="A47" s="370">
        <v>582</v>
      </c>
      <c r="B47" s="370">
        <v>0.2</v>
      </c>
      <c r="C47" s="370">
        <v>0.4</v>
      </c>
      <c r="D47" s="370">
        <f>A47*B47/C47</f>
        <v>291</v>
      </c>
      <c r="E47" s="370">
        <v>60</v>
      </c>
      <c r="F47" s="370">
        <f t="shared" ref="F47:F48" si="35">D47/E47</f>
        <v>4.8499999999999996</v>
      </c>
      <c r="I47" s="368"/>
      <c r="J47" s="368"/>
      <c r="K47" s="368"/>
      <c r="L47" s="368"/>
      <c r="M47" s="368"/>
      <c r="N47" s="371" t="s">
        <v>21</v>
      </c>
      <c r="O47" s="403"/>
      <c r="P47" s="434">
        <v>192</v>
      </c>
      <c r="Q47" s="434">
        <v>53.8</v>
      </c>
      <c r="R47" s="411" t="str">
        <f t="shared" si="25"/>
        <v>53.8-192</v>
      </c>
      <c r="S47" s="434">
        <v>3.1</v>
      </c>
      <c r="T47" s="434">
        <v>2.2000000000000002</v>
      </c>
      <c r="U47" s="411" t="str">
        <f t="shared" si="26"/>
        <v>2.2-3.1</v>
      </c>
      <c r="V47" s="434">
        <v>10.199999999999999</v>
      </c>
      <c r="W47" s="434">
        <v>5.0999999999999996</v>
      </c>
      <c r="X47" s="411" t="str">
        <f t="shared" si="27"/>
        <v>5.1-10.2</v>
      </c>
      <c r="Y47" s="434">
        <v>17.399999999999999</v>
      </c>
      <c r="Z47" s="434">
        <v>4.9000000000000004</v>
      </c>
      <c r="AA47" s="402" t="str">
        <f t="shared" si="33"/>
        <v>4.9-17.4</v>
      </c>
      <c r="AB47" s="434">
        <v>5.0999999999999996</v>
      </c>
      <c r="AC47" s="434">
        <v>1</v>
      </c>
      <c r="AD47" s="411" t="str">
        <f t="shared" si="28"/>
        <v>1-5.1</v>
      </c>
      <c r="AE47" s="434">
        <v>15.1</v>
      </c>
      <c r="AF47" s="434">
        <v>4.2</v>
      </c>
      <c r="AG47" s="411" t="str">
        <f t="shared" si="29"/>
        <v>4.2-15.1</v>
      </c>
      <c r="AH47" s="434">
        <v>69.8</v>
      </c>
      <c r="AI47" s="434">
        <v>19.600000000000001</v>
      </c>
      <c r="AJ47" s="411" t="str">
        <f t="shared" si="30"/>
        <v>19.6-69.8</v>
      </c>
      <c r="AK47" s="434">
        <v>1.7</v>
      </c>
      <c r="AL47" s="434">
        <v>1.2</v>
      </c>
      <c r="AM47" s="411" t="str">
        <f t="shared" si="31"/>
        <v>1.2-1.7</v>
      </c>
      <c r="AN47" s="434">
        <v>12.8</v>
      </c>
      <c r="AO47" s="434">
        <v>9.1</v>
      </c>
      <c r="AP47" s="411" t="str">
        <f t="shared" si="32"/>
        <v>9.1-12.8</v>
      </c>
    </row>
    <row r="48" spans="1:42" s="401" customFormat="1">
      <c r="A48" s="401">
        <v>582</v>
      </c>
      <c r="B48" s="401">
        <v>5</v>
      </c>
      <c r="D48" s="401">
        <f>A48/B48/C47</f>
        <v>291</v>
      </c>
      <c r="E48" s="401">
        <v>60</v>
      </c>
      <c r="F48" s="401">
        <f t="shared" si="35"/>
        <v>4.8499999999999996</v>
      </c>
      <c r="I48" s="368"/>
      <c r="J48" s="368"/>
      <c r="K48" s="368"/>
      <c r="L48" s="368"/>
      <c r="M48" s="368"/>
      <c r="N48" s="371" t="s">
        <v>413</v>
      </c>
      <c r="O48" s="403"/>
      <c r="P48" s="434">
        <v>73.900000000000006</v>
      </c>
      <c r="Q48" s="434">
        <v>20.7</v>
      </c>
      <c r="R48" s="411" t="str">
        <f t="shared" si="25"/>
        <v>20.7-73.9</v>
      </c>
      <c r="S48" s="434">
        <v>1.2</v>
      </c>
      <c r="T48" s="434">
        <v>0.8</v>
      </c>
      <c r="U48" s="411" t="str">
        <f t="shared" si="26"/>
        <v>0.8-1.2</v>
      </c>
      <c r="V48" s="434">
        <v>3.9</v>
      </c>
      <c r="W48" s="434">
        <v>2</v>
      </c>
      <c r="X48" s="411" t="str">
        <f t="shared" si="27"/>
        <v>2-3.9</v>
      </c>
      <c r="Y48" s="434">
        <v>6.7</v>
      </c>
      <c r="Z48" s="434">
        <v>1.9</v>
      </c>
      <c r="AA48" s="402" t="str">
        <f t="shared" si="33"/>
        <v>1.9-6.7</v>
      </c>
      <c r="AB48" s="434">
        <v>2</v>
      </c>
      <c r="AC48" s="434">
        <v>0.4</v>
      </c>
      <c r="AD48" s="411" t="str">
        <f t="shared" si="28"/>
        <v>0.4-2</v>
      </c>
      <c r="AE48" s="434">
        <v>5.8</v>
      </c>
      <c r="AF48" s="434">
        <v>1.6</v>
      </c>
      <c r="AG48" s="411" t="str">
        <f t="shared" si="29"/>
        <v>1.6-5.8</v>
      </c>
      <c r="AH48" s="434">
        <v>26.9</v>
      </c>
      <c r="AI48" s="434">
        <v>7.5</v>
      </c>
      <c r="AJ48" s="411" t="str">
        <f t="shared" si="30"/>
        <v>7.5-26.9</v>
      </c>
      <c r="AK48" s="434">
        <v>0.7</v>
      </c>
      <c r="AL48" s="434">
        <v>0.5</v>
      </c>
      <c r="AM48" s="411" t="str">
        <f t="shared" si="31"/>
        <v>0.5-0.7</v>
      </c>
      <c r="AN48" s="434">
        <v>4.9000000000000004</v>
      </c>
      <c r="AO48" s="434">
        <v>3.5</v>
      </c>
      <c r="AP48" s="411" t="str">
        <f t="shared" si="32"/>
        <v>3.5-4.9</v>
      </c>
    </row>
    <row r="49" spans="1:24">
      <c r="A49" s="401"/>
      <c r="B49" s="401"/>
      <c r="C49" s="401"/>
      <c r="D49" s="401"/>
      <c r="E49" s="401"/>
      <c r="F49" s="401"/>
    </row>
    <row r="50" spans="1:24">
      <c r="A50" s="370">
        <v>86</v>
      </c>
      <c r="B50" s="421">
        <v>0.8</v>
      </c>
      <c r="C50" s="370">
        <v>0.4</v>
      </c>
      <c r="D50" s="370">
        <f>A50*B50/C50</f>
        <v>171.99999999999997</v>
      </c>
      <c r="E50" s="370">
        <v>60</v>
      </c>
      <c r="F50" s="370">
        <f t="shared" ref="F50:F51" si="36">D50/E50</f>
        <v>2.8666666666666663</v>
      </c>
    </row>
    <row r="51" spans="1:24" ht="14.4" thickBot="1">
      <c r="A51" s="401">
        <v>86</v>
      </c>
      <c r="B51" s="401">
        <v>1.4</v>
      </c>
      <c r="C51" s="401">
        <v>0.4</v>
      </c>
      <c r="D51" s="401">
        <f>A51/B51/C50</f>
        <v>153.57142857142856</v>
      </c>
      <c r="E51" s="401">
        <v>60</v>
      </c>
      <c r="F51" s="401">
        <f t="shared" si="36"/>
        <v>2.5595238095238093</v>
      </c>
    </row>
    <row r="52" spans="1:24" s="356" customFormat="1" ht="40.799999999999997" thickTop="1" thickBot="1">
      <c r="A52" s="404"/>
      <c r="B52" s="418"/>
      <c r="C52" s="401"/>
      <c r="D52" s="401"/>
      <c r="E52" s="401"/>
      <c r="F52" s="401"/>
      <c r="I52" s="383"/>
      <c r="J52" s="383"/>
      <c r="K52" s="383"/>
      <c r="L52" s="383"/>
      <c r="M52" s="383"/>
      <c r="N52" s="384" t="s">
        <v>390</v>
      </c>
      <c r="O52" s="384"/>
      <c r="P52" s="385" t="s">
        <v>391</v>
      </c>
      <c r="Q52" s="385" t="s">
        <v>412</v>
      </c>
      <c r="R52" s="385" t="s">
        <v>392</v>
      </c>
      <c r="S52" s="385" t="s">
        <v>393</v>
      </c>
      <c r="T52" s="438" t="s">
        <v>160</v>
      </c>
      <c r="U52" s="385" t="s">
        <v>394</v>
      </c>
      <c r="V52" s="385" t="s">
        <v>395</v>
      </c>
      <c r="W52" s="385" t="s">
        <v>396</v>
      </c>
      <c r="X52" s="385" t="s">
        <v>397</v>
      </c>
    </row>
    <row r="53" spans="1:24">
      <c r="N53" s="436" t="s">
        <v>3</v>
      </c>
      <c r="O53" s="436"/>
      <c r="P53" s="439" t="str">
        <f>U28</f>
        <v>2.9-4.1</v>
      </c>
      <c r="Q53" s="439" t="str">
        <f>AP28</f>
        <v>12.2-17.1</v>
      </c>
      <c r="R53" s="440" t="str">
        <f>AM28</f>
        <v>1.6-2.3</v>
      </c>
      <c r="S53" s="439" t="str">
        <f>AD28</f>
        <v>1.3-6.8</v>
      </c>
      <c r="T53" s="439" t="str">
        <f>R28</f>
        <v>71.7-255.8</v>
      </c>
      <c r="U53" s="439" t="str">
        <f>AG28</f>
        <v>5.6-20.1</v>
      </c>
      <c r="V53" s="439" t="str">
        <f>AJ28</f>
        <v>26.1-93</v>
      </c>
      <c r="W53" s="441" t="str">
        <f>X28</f>
        <v>6.8-13.5</v>
      </c>
      <c r="X53" s="441" t="str">
        <f>AA28</f>
        <v>6.5-23.2</v>
      </c>
    </row>
    <row r="54" spans="1:24" s="386" customFormat="1">
      <c r="B54" s="386" t="s">
        <v>417</v>
      </c>
      <c r="C54" s="386">
        <f>1.4*60</f>
        <v>84</v>
      </c>
      <c r="I54" s="387"/>
      <c r="J54" s="387"/>
      <c r="K54" s="387"/>
      <c r="L54" s="387"/>
      <c r="M54" s="387"/>
      <c r="N54" s="436" t="s">
        <v>9</v>
      </c>
      <c r="O54" s="436"/>
      <c r="P54" s="439" t="str">
        <f t="shared" ref="P54:P73" si="37">U29</f>
        <v>1-1.4</v>
      </c>
      <c r="Q54" s="439" t="str">
        <f>AP29</f>
        <v>4.3-6</v>
      </c>
      <c r="R54" s="440" t="str">
        <f>AM29</f>
        <v>0.6-0.8</v>
      </c>
      <c r="S54" s="439" t="str">
        <f t="shared" ref="S54:S73" si="38">AD29</f>
        <v>0.5-2.4</v>
      </c>
      <c r="T54" s="439" t="str">
        <f>R29</f>
        <v>25.2-89.8</v>
      </c>
      <c r="U54" s="439" t="str">
        <f>AG29</f>
        <v>2-7</v>
      </c>
      <c r="V54" s="439" t="str">
        <f>AJ29</f>
        <v>9.2-32.7</v>
      </c>
      <c r="W54" s="441" t="str">
        <f t="shared" ref="W54:W73" si="39">X29</f>
        <v>2.4-4.8</v>
      </c>
      <c r="X54" s="441" t="str">
        <f t="shared" ref="X54:X73" si="40">AA29</f>
        <v>2.3-8.1</v>
      </c>
    </row>
    <row r="55" spans="1:24" s="386" customFormat="1">
      <c r="B55" s="386">
        <f>60/12</f>
        <v>5</v>
      </c>
      <c r="I55" s="387"/>
      <c r="J55" s="387"/>
      <c r="K55" s="387"/>
      <c r="L55" s="387"/>
      <c r="M55" s="387"/>
      <c r="N55" s="436" t="s">
        <v>10</v>
      </c>
      <c r="O55" s="436"/>
      <c r="P55" s="439" t="str">
        <f t="shared" si="37"/>
        <v>1-1.5</v>
      </c>
      <c r="Q55" s="439" t="str">
        <f>AP30</f>
        <v>4.3-6</v>
      </c>
      <c r="R55" s="440" t="str">
        <f>AM30</f>
        <v>0.6-0.8</v>
      </c>
      <c r="S55" s="439" t="str">
        <f t="shared" si="38"/>
        <v>0.5-2.4</v>
      </c>
      <c r="T55" s="439" t="str">
        <f>R30</f>
        <v>25.4-90.6</v>
      </c>
      <c r="U55" s="439" t="str">
        <f>AG30</f>
        <v>2-7.1</v>
      </c>
      <c r="V55" s="439" t="str">
        <f>AJ30</f>
        <v>9.2-32.9</v>
      </c>
      <c r="W55" s="441" t="str">
        <f t="shared" si="39"/>
        <v>2.4-4.8</v>
      </c>
      <c r="X55" s="441" t="str">
        <f t="shared" si="40"/>
        <v>2.3-8.2</v>
      </c>
    </row>
    <row r="56" spans="1:24" s="386" customFormat="1">
      <c r="I56" s="387"/>
      <c r="J56" s="387"/>
      <c r="K56" s="387"/>
      <c r="L56" s="387"/>
      <c r="M56" s="387"/>
      <c r="N56" s="436" t="s">
        <v>11</v>
      </c>
      <c r="O56" s="436"/>
      <c r="P56" s="439" t="str">
        <f t="shared" si="37"/>
        <v>1-1.4</v>
      </c>
      <c r="Q56" s="439" t="str">
        <f>AP31</f>
        <v>4.3-6</v>
      </c>
      <c r="R56" s="440" t="str">
        <f>AM31</f>
        <v>0.6-0.8</v>
      </c>
      <c r="S56" s="439" t="str">
        <f t="shared" si="38"/>
        <v>0.5-2.4</v>
      </c>
      <c r="T56" s="439" t="str">
        <f>R31</f>
        <v>25.2-89.8</v>
      </c>
      <c r="U56" s="439" t="str">
        <f>AG31</f>
        <v>2-7</v>
      </c>
      <c r="V56" s="439" t="str">
        <f>AJ31</f>
        <v>9.2-32.7</v>
      </c>
      <c r="W56" s="441" t="str">
        <f t="shared" si="39"/>
        <v>2.4-4.8</v>
      </c>
      <c r="X56" s="441" t="str">
        <f t="shared" si="40"/>
        <v>2.3-8.1</v>
      </c>
    </row>
    <row r="57" spans="1:24" s="386" customFormat="1">
      <c r="I57" s="387"/>
      <c r="J57" s="387"/>
      <c r="K57" s="387"/>
      <c r="L57" s="387"/>
      <c r="M57" s="387"/>
      <c r="N57" s="436" t="s">
        <v>12</v>
      </c>
      <c r="O57" s="436"/>
      <c r="P57" s="439" t="str">
        <f t="shared" si="37"/>
        <v>1.5-2.1</v>
      </c>
      <c r="Q57" s="439" t="str">
        <f>AP32</f>
        <v>6.1-8.5</v>
      </c>
      <c r="R57" s="440" t="str">
        <f>AM32</f>
        <v>0.8-1.2</v>
      </c>
      <c r="S57" s="439" t="str">
        <f t="shared" si="38"/>
        <v>0.7-3.4</v>
      </c>
      <c r="T57" s="439" t="str">
        <f>R32</f>
        <v>35.9-128</v>
      </c>
      <c r="U57" s="439" t="str">
        <f>AG32</f>
        <v>2.8-10</v>
      </c>
      <c r="V57" s="439" t="str">
        <f>AJ32</f>
        <v>13-46.5</v>
      </c>
      <c r="W57" s="441" t="str">
        <f t="shared" si="39"/>
        <v>3.4-6.8</v>
      </c>
      <c r="X57" s="441" t="str">
        <f t="shared" si="40"/>
        <v>3.3-11.6</v>
      </c>
    </row>
    <row r="58" spans="1:24" s="386" customFormat="1">
      <c r="I58" s="387"/>
      <c r="J58" s="387"/>
      <c r="K58" s="387"/>
      <c r="L58" s="387"/>
      <c r="M58" s="387"/>
      <c r="N58" s="436" t="s">
        <v>13</v>
      </c>
      <c r="O58" s="436"/>
      <c r="P58" s="439" t="str">
        <f t="shared" si="37"/>
        <v>3.3-4.6</v>
      </c>
      <c r="Q58" s="439" t="str">
        <f>AP33</f>
        <v>13.7-19.1</v>
      </c>
      <c r="R58" s="440" t="str">
        <f>AM33</f>
        <v>1.8-2.6</v>
      </c>
      <c r="S58" s="439" t="str">
        <f t="shared" si="38"/>
        <v>1.5-7.6</v>
      </c>
      <c r="T58" s="439" t="str">
        <f>R33</f>
        <v>80.4-287</v>
      </c>
      <c r="U58" s="439" t="str">
        <f>AG33</f>
        <v>6.3-22.5</v>
      </c>
      <c r="V58" s="439" t="str">
        <f>AJ33</f>
        <v>29.2-104.4</v>
      </c>
      <c r="W58" s="441" t="str">
        <f t="shared" si="39"/>
        <v>7.6-15.2</v>
      </c>
      <c r="X58" s="441" t="str">
        <f t="shared" si="40"/>
        <v>7.3-26</v>
      </c>
    </row>
    <row r="59" spans="1:24">
      <c r="G59" s="350" t="e">
        <f>#REF!&amp;"-"&amp;#REF!</f>
        <v>#REF!</v>
      </c>
      <c r="N59" s="436" t="s">
        <v>4</v>
      </c>
      <c r="O59" s="436"/>
      <c r="P59" s="439" t="str">
        <f t="shared" si="37"/>
        <v>1.1-1.5</v>
      </c>
      <c r="Q59" s="439" t="str">
        <f>AP34</f>
        <v>4.4-6.1</v>
      </c>
      <c r="R59" s="440" t="str">
        <f>AM34</f>
        <v>0.6-0.8</v>
      </c>
      <c r="S59" s="439" t="str">
        <f t="shared" si="38"/>
        <v>0.5-2.4</v>
      </c>
      <c r="T59" s="439" t="str">
        <f>R34</f>
        <v>25.8-92</v>
      </c>
      <c r="U59" s="439" t="str">
        <f>AG34</f>
        <v>2-7.2</v>
      </c>
      <c r="V59" s="439" t="str">
        <f>AJ34</f>
        <v>9.4-33.5</v>
      </c>
      <c r="W59" s="441" t="str">
        <f t="shared" si="39"/>
        <v>2.4-4.9</v>
      </c>
      <c r="X59" s="441" t="str">
        <f t="shared" si="40"/>
        <v>2.3-8.3</v>
      </c>
    </row>
    <row r="60" spans="1:24">
      <c r="N60" s="436" t="s">
        <v>5</v>
      </c>
      <c r="O60" s="436"/>
      <c r="P60" s="439" t="str">
        <f t="shared" si="37"/>
        <v>0.9-1.3</v>
      </c>
      <c r="Q60" s="439" t="str">
        <f>AP35</f>
        <v>3.8-5.3</v>
      </c>
      <c r="R60" s="440" t="str">
        <f>AM35</f>
        <v>0.5-0.7</v>
      </c>
      <c r="S60" s="439" t="str">
        <f t="shared" si="38"/>
        <v>0.4-2.1</v>
      </c>
      <c r="T60" s="439" t="str">
        <f>R35</f>
        <v>22.4-80.1</v>
      </c>
      <c r="U60" s="439" t="str">
        <f>AG35</f>
        <v>1.8-6.3</v>
      </c>
      <c r="V60" s="439" t="str">
        <f>AJ35</f>
        <v>8.2-29.1</v>
      </c>
      <c r="W60" s="441" t="str">
        <f t="shared" si="39"/>
        <v>2.1-4.2</v>
      </c>
      <c r="X60" s="441" t="str">
        <f t="shared" si="40"/>
        <v>2-7.3</v>
      </c>
    </row>
    <row r="61" spans="1:24">
      <c r="N61" s="436" t="s">
        <v>6</v>
      </c>
      <c r="O61" s="436"/>
      <c r="P61" s="439" t="str">
        <f t="shared" si="37"/>
        <v>1.4-2</v>
      </c>
      <c r="Q61" s="439" t="str">
        <f>AP36</f>
        <v>5.8-8.2</v>
      </c>
      <c r="R61" s="440" t="str">
        <f>AM36</f>
        <v>0.8-1.1</v>
      </c>
      <c r="S61" s="439" t="str">
        <f t="shared" si="38"/>
        <v>0.6-3.3</v>
      </c>
      <c r="T61" s="439" t="str">
        <f>R36</f>
        <v>34.4-122.8</v>
      </c>
      <c r="U61" s="439" t="str">
        <f>AG36</f>
        <v>2.7-9.6</v>
      </c>
      <c r="V61" s="439" t="str">
        <f>AJ36</f>
        <v>12.5-44.7</v>
      </c>
      <c r="W61" s="441" t="str">
        <f t="shared" si="39"/>
        <v>3.2-6.5</v>
      </c>
      <c r="X61" s="441" t="str">
        <f t="shared" si="40"/>
        <v>3.1-11.1</v>
      </c>
    </row>
    <row r="62" spans="1:24">
      <c r="A62" s="350">
        <v>1</v>
      </c>
      <c r="N62" s="436" t="s">
        <v>7</v>
      </c>
      <c r="O62" s="436"/>
      <c r="P62" s="439" t="str">
        <f t="shared" si="37"/>
        <v>1-1.4</v>
      </c>
      <c r="Q62" s="439" t="str">
        <f>AP37</f>
        <v>4.2-5.9</v>
      </c>
      <c r="R62" s="440" t="str">
        <f>AM37</f>
        <v>0.6-0.8</v>
      </c>
      <c r="S62" s="439" t="str">
        <f t="shared" si="38"/>
        <v>0.5-2.4</v>
      </c>
      <c r="T62" s="439" t="str">
        <f>R37</f>
        <v>25-89.1</v>
      </c>
      <c r="U62" s="439" t="str">
        <f>AG37</f>
        <v>2-7</v>
      </c>
      <c r="V62" s="439" t="str">
        <f>AJ37</f>
        <v>9.1-32.4</v>
      </c>
      <c r="W62" s="441" t="str">
        <f t="shared" si="39"/>
        <v>2.4-4.7</v>
      </c>
      <c r="X62" s="441" t="str">
        <f t="shared" si="40"/>
        <v>2.3-8.1</v>
      </c>
    </row>
    <row r="63" spans="1:24">
      <c r="B63" s="417"/>
      <c r="N63" s="436" t="s">
        <v>8</v>
      </c>
      <c r="O63" s="436"/>
      <c r="P63" s="439" t="str">
        <f t="shared" si="37"/>
        <v>0.7-1</v>
      </c>
      <c r="Q63" s="439" t="str">
        <f>AP38</f>
        <v>3.1-4.3</v>
      </c>
      <c r="R63" s="440" t="str">
        <f>AM38</f>
        <v>0.4-0.6</v>
      </c>
      <c r="S63" s="439" t="str">
        <f t="shared" si="38"/>
        <v>0.3-1.7</v>
      </c>
      <c r="T63" s="439" t="str">
        <f>R38</f>
        <v>18-64.3</v>
      </c>
      <c r="U63" s="439" t="str">
        <f>AG38</f>
        <v>1.4-5</v>
      </c>
      <c r="V63" s="439" t="str">
        <f>AJ38</f>
        <v>6.5-23.4</v>
      </c>
      <c r="W63" s="441" t="str">
        <f t="shared" si="39"/>
        <v>1.7-3.4</v>
      </c>
      <c r="X63" s="441" t="str">
        <f t="shared" si="40"/>
        <v>1.6-5.8</v>
      </c>
    </row>
    <row r="64" spans="1:24">
      <c r="N64" s="436" t="s">
        <v>14</v>
      </c>
      <c r="O64" s="436"/>
      <c r="P64" s="439" t="str">
        <f t="shared" si="37"/>
        <v>1.4-2</v>
      </c>
      <c r="Q64" s="439" t="str">
        <f>AP39</f>
        <v>5.9-8.3</v>
      </c>
      <c r="R64" s="440" t="str">
        <f>AM39</f>
        <v>0.8-1.1</v>
      </c>
      <c r="S64" s="439" t="str">
        <f t="shared" si="38"/>
        <v>0.6-3.3</v>
      </c>
      <c r="T64" s="439" t="str">
        <f>R39</f>
        <v>35-124.8</v>
      </c>
      <c r="U64" s="439" t="str">
        <f>AG39</f>
        <v>2.7-9.8</v>
      </c>
      <c r="V64" s="439" t="str">
        <f>AJ39</f>
        <v>12.7-45.4</v>
      </c>
      <c r="W64" s="441" t="str">
        <f t="shared" si="39"/>
        <v>3.3-6.6</v>
      </c>
      <c r="X64" s="441" t="str">
        <f t="shared" si="40"/>
        <v>3.2-11.3</v>
      </c>
    </row>
    <row r="65" spans="14:37">
      <c r="N65" s="436" t="s">
        <v>15</v>
      </c>
      <c r="O65" s="436"/>
      <c r="P65" s="439" t="str">
        <f t="shared" si="37"/>
        <v>1.1-1.5</v>
      </c>
      <c r="Q65" s="439" t="str">
        <f>AP40</f>
        <v>4.4-6.1</v>
      </c>
      <c r="R65" s="440" t="str">
        <f>AM40</f>
        <v>0.6-0.8</v>
      </c>
      <c r="S65" s="439" t="str">
        <f t="shared" si="38"/>
        <v>0.5-2.4</v>
      </c>
      <c r="T65" s="439" t="str">
        <f>R40</f>
        <v>25.8-92</v>
      </c>
      <c r="U65" s="439" t="str">
        <f>AG40</f>
        <v>2-7.2</v>
      </c>
      <c r="V65" s="439" t="str">
        <f>AJ40</f>
        <v>9.4-33.5</v>
      </c>
      <c r="W65" s="441" t="str">
        <f t="shared" si="39"/>
        <v>2.4-4.9</v>
      </c>
      <c r="X65" s="441" t="str">
        <f t="shared" si="40"/>
        <v>2.3-8.3</v>
      </c>
    </row>
    <row r="66" spans="14:37">
      <c r="N66" s="436" t="s">
        <v>16</v>
      </c>
      <c r="O66" s="436"/>
      <c r="P66" s="439" t="str">
        <f t="shared" si="37"/>
        <v>0.6-0.9</v>
      </c>
      <c r="Q66" s="439" t="str">
        <f>AP41</f>
        <v>2.6-3.7</v>
      </c>
      <c r="R66" s="440" t="str">
        <f>AM41</f>
        <v>0.4-0.5</v>
      </c>
      <c r="S66" s="439" t="str">
        <f t="shared" si="38"/>
        <v>0.3-1.5</v>
      </c>
      <c r="T66" s="439" t="str">
        <f>R41</f>
        <v>15.4-55</v>
      </c>
      <c r="U66" s="439" t="str">
        <f>AG41</f>
        <v>1.2-4.3</v>
      </c>
      <c r="V66" s="439" t="str">
        <f>AJ41</f>
        <v>5.6-20</v>
      </c>
      <c r="W66" s="441" t="str">
        <f t="shared" si="39"/>
        <v>1.5-2.9</v>
      </c>
      <c r="X66" s="441" t="str">
        <f t="shared" si="40"/>
        <v>1.4-5</v>
      </c>
    </row>
    <row r="67" spans="14:37">
      <c r="N67" s="436" t="s">
        <v>17</v>
      </c>
      <c r="O67" s="436"/>
      <c r="P67" s="439" t="str">
        <f t="shared" si="37"/>
        <v>0.6-0.8</v>
      </c>
      <c r="Q67" s="439" t="str">
        <f>AP42</f>
        <v>2.3-3.2</v>
      </c>
      <c r="R67" s="440" t="str">
        <f>AM42</f>
        <v>0.3-0.4</v>
      </c>
      <c r="S67" s="439" t="str">
        <f t="shared" si="38"/>
        <v>0.2-1.3</v>
      </c>
      <c r="T67" s="439" t="str">
        <f>R42</f>
        <v>13.6-48.7</v>
      </c>
      <c r="U67" s="439" t="str">
        <f>AG42</f>
        <v>1.1-3.8</v>
      </c>
      <c r="V67" s="439" t="str">
        <f>AJ42</f>
        <v>5-17.7</v>
      </c>
      <c r="W67" s="441" t="str">
        <f t="shared" si="39"/>
        <v>1.3-2.6</v>
      </c>
      <c r="X67" s="441" t="str">
        <f t="shared" si="40"/>
        <v>1.2-4.4</v>
      </c>
    </row>
    <row r="68" spans="14:37">
      <c r="N68" s="436" t="s">
        <v>18</v>
      </c>
      <c r="O68" s="436"/>
      <c r="P68" s="439" t="str">
        <f t="shared" si="37"/>
        <v>0.7-1</v>
      </c>
      <c r="Q68" s="439" t="str">
        <f>AP43</f>
        <v>2.9-4</v>
      </c>
      <c r="R68" s="440" t="str">
        <f>AM43</f>
        <v>0.4-0.5</v>
      </c>
      <c r="S68" s="439" t="str">
        <f t="shared" si="38"/>
        <v>0.3-1.6</v>
      </c>
      <c r="T68" s="439" t="str">
        <f>R43</f>
        <v>16.8-60.1</v>
      </c>
      <c r="U68" s="439" t="str">
        <f>AG43</f>
        <v>1.3-4.7</v>
      </c>
      <c r="V68" s="439" t="str">
        <f>AJ43</f>
        <v>6.1-21.9</v>
      </c>
      <c r="W68" s="441" t="str">
        <f t="shared" si="39"/>
        <v>1.6-3.2</v>
      </c>
      <c r="X68" s="441" t="str">
        <f t="shared" si="40"/>
        <v>1.5-5.5</v>
      </c>
    </row>
    <row r="69" spans="14:37">
      <c r="N69" s="436" t="s">
        <v>19</v>
      </c>
      <c r="O69" s="436"/>
      <c r="P69" s="439" t="str">
        <f t="shared" si="37"/>
        <v>0.9-1.2</v>
      </c>
      <c r="Q69" s="439" t="str">
        <f>AP44</f>
        <v>3.6-5.1</v>
      </c>
      <c r="R69" s="440" t="str">
        <f>AM44</f>
        <v>0.5-0.7</v>
      </c>
      <c r="S69" s="439" t="str">
        <f t="shared" si="38"/>
        <v>0.4-2</v>
      </c>
      <c r="T69" s="439" t="str">
        <f>R44</f>
        <v>21.4-76.3</v>
      </c>
      <c r="U69" s="439" t="str">
        <f>AG44</f>
        <v>1.7-6</v>
      </c>
      <c r="V69" s="439" t="str">
        <f>AJ44</f>
        <v>7.8-27.7</v>
      </c>
      <c r="W69" s="441" t="str">
        <f t="shared" si="39"/>
        <v>2-4</v>
      </c>
      <c r="X69" s="441" t="str">
        <f t="shared" si="40"/>
        <v>1.9-6.9</v>
      </c>
    </row>
    <row r="70" spans="14:37">
      <c r="N70" s="436" t="s">
        <v>20</v>
      </c>
      <c r="O70" s="436"/>
      <c r="P70" s="439" t="str">
        <f t="shared" si="37"/>
        <v>0.7-1</v>
      </c>
      <c r="Q70" s="439" t="str">
        <f>AP45</f>
        <v>2.9-4.1</v>
      </c>
      <c r="R70" s="440" t="str">
        <f>AM45</f>
        <v>0.4-0.6</v>
      </c>
      <c r="S70" s="439" t="str">
        <f t="shared" si="38"/>
        <v>0.3-1.6</v>
      </c>
      <c r="T70" s="439" t="str">
        <f>R45</f>
        <v>17.3-61.8</v>
      </c>
      <c r="U70" s="439" t="str">
        <f>AG45</f>
        <v>1.4-4.8</v>
      </c>
      <c r="V70" s="439" t="str">
        <f>AJ45</f>
        <v>6.3-22.5</v>
      </c>
      <c r="W70" s="441" t="str">
        <f t="shared" si="39"/>
        <v>1.6-3.3</v>
      </c>
      <c r="X70" s="441" t="str">
        <f t="shared" si="40"/>
        <v>1.6-5.6</v>
      </c>
    </row>
    <row r="71" spans="14:37">
      <c r="N71" s="436" t="s">
        <v>398</v>
      </c>
      <c r="O71" s="436"/>
      <c r="P71" s="439" t="str">
        <f t="shared" si="37"/>
        <v>1-1.3</v>
      </c>
      <c r="Q71" s="439" t="str">
        <f>AP46</f>
        <v>4-5.6</v>
      </c>
      <c r="R71" s="440" t="str">
        <f>AM46</f>
        <v>0.5-0.8</v>
      </c>
      <c r="S71" s="439" t="str">
        <f t="shared" si="38"/>
        <v>0.4-2.2</v>
      </c>
      <c r="T71" s="439" t="str">
        <f>R46</f>
        <v>23.5-83.9</v>
      </c>
      <c r="U71" s="439" t="str">
        <f>AG46</f>
        <v>1.8-6.6</v>
      </c>
      <c r="V71" s="439" t="str">
        <f>AJ46</f>
        <v>8.5-30.5</v>
      </c>
      <c r="W71" s="441" t="str">
        <f t="shared" si="39"/>
        <v>2.2-4.4</v>
      </c>
      <c r="X71" s="441" t="str">
        <f t="shared" si="40"/>
        <v>2.1-7.6</v>
      </c>
    </row>
    <row r="72" spans="14:37">
      <c r="N72" s="436" t="s">
        <v>21</v>
      </c>
      <c r="O72" s="436"/>
      <c r="P72" s="439" t="str">
        <f t="shared" si="37"/>
        <v>2.2-3.1</v>
      </c>
      <c r="Q72" s="439" t="str">
        <f>AP47</f>
        <v>9.1-12.8</v>
      </c>
      <c r="R72" s="440" t="str">
        <f>AM47</f>
        <v>1.2-1.7</v>
      </c>
      <c r="S72" s="439" t="str">
        <f t="shared" si="38"/>
        <v>1-5.1</v>
      </c>
      <c r="T72" s="439" t="str">
        <f>R47</f>
        <v>53.8-192</v>
      </c>
      <c r="U72" s="439" t="str">
        <f>AG47</f>
        <v>4.2-15.1</v>
      </c>
      <c r="V72" s="439" t="str">
        <f>AJ47</f>
        <v>19.6-69.8</v>
      </c>
      <c r="W72" s="441" t="str">
        <f t="shared" si="39"/>
        <v>5.1-10.2</v>
      </c>
      <c r="X72" s="441" t="str">
        <f t="shared" si="40"/>
        <v>4.9-17.4</v>
      </c>
    </row>
    <row r="73" spans="14:37" ht="14.4" thickBot="1">
      <c r="N73" s="437" t="s">
        <v>251</v>
      </c>
      <c r="O73" s="437"/>
      <c r="P73" s="439" t="str">
        <f t="shared" si="37"/>
        <v>0.8-1.2</v>
      </c>
      <c r="Q73" s="439" t="str">
        <f>AP48</f>
        <v>3.5-4.9</v>
      </c>
      <c r="R73" s="440" t="str">
        <f>AM48</f>
        <v>0.5-0.7</v>
      </c>
      <c r="S73" s="439" t="str">
        <f t="shared" si="38"/>
        <v>0.4-2</v>
      </c>
      <c r="T73" s="439" t="str">
        <f>R48</f>
        <v>20.7-73.9</v>
      </c>
      <c r="U73" s="439" t="str">
        <f>AG48</f>
        <v>1.6-5.8</v>
      </c>
      <c r="V73" s="439" t="str">
        <f>AJ48</f>
        <v>7.5-26.9</v>
      </c>
      <c r="W73" s="441" t="str">
        <f t="shared" si="39"/>
        <v>2-3.9</v>
      </c>
      <c r="X73" s="441" t="str">
        <f t="shared" si="40"/>
        <v>1.9-6.7</v>
      </c>
    </row>
    <row r="74" spans="14:37" ht="15" thickTop="1" thickBot="1">
      <c r="Q74" s="388"/>
      <c r="R74" s="388"/>
      <c r="S74" s="388"/>
      <c r="T74" s="388"/>
      <c r="U74" s="388"/>
      <c r="V74" s="388"/>
      <c r="W74" s="388"/>
    </row>
    <row r="75" spans="14:37" ht="14.4" thickTop="1"/>
    <row r="78" spans="14:37" ht="42" thickBot="1">
      <c r="N78" s="390" t="s">
        <v>387</v>
      </c>
      <c r="O78" s="390" t="s">
        <v>384</v>
      </c>
      <c r="P78" s="391" t="s">
        <v>408</v>
      </c>
      <c r="Q78" s="391"/>
      <c r="R78" s="393" t="s">
        <v>410</v>
      </c>
      <c r="S78" s="393"/>
      <c r="T78" s="393"/>
      <c r="U78" s="395" t="s">
        <v>424</v>
      </c>
      <c r="V78" s="395"/>
      <c r="W78" s="395"/>
      <c r="X78" s="397"/>
      <c r="Y78" s="397"/>
      <c r="Z78" s="397"/>
      <c r="AA78" s="399"/>
      <c r="AB78" s="399"/>
      <c r="AC78" s="399"/>
      <c r="AD78" s="334"/>
      <c r="AE78" s="334"/>
      <c r="AF78" s="334"/>
      <c r="AG78" s="334"/>
      <c r="AH78" s="334"/>
      <c r="AI78" s="334"/>
      <c r="AJ78" s="334"/>
      <c r="AK78" s="334"/>
    </row>
    <row r="79" spans="14:37" ht="42" thickBot="1">
      <c r="N79" s="389" t="s">
        <v>74</v>
      </c>
      <c r="O79" s="390"/>
      <c r="P79" s="391" t="s">
        <v>409</v>
      </c>
      <c r="Q79" s="391"/>
      <c r="R79" s="392" t="s">
        <v>244</v>
      </c>
      <c r="S79" s="393"/>
      <c r="T79" s="393"/>
      <c r="U79" s="394" t="s">
        <v>164</v>
      </c>
      <c r="V79" s="395"/>
      <c r="W79" s="395"/>
      <c r="X79" s="396" t="s">
        <v>163</v>
      </c>
      <c r="Y79" s="397"/>
      <c r="Z79" s="397"/>
      <c r="AA79" s="398" t="s">
        <v>150</v>
      </c>
      <c r="AB79" s="399"/>
      <c r="AC79" s="399"/>
      <c r="AD79" s="400" t="s">
        <v>57</v>
      </c>
      <c r="AE79" s="334"/>
      <c r="AF79" s="334"/>
      <c r="AG79" s="400" t="s">
        <v>1</v>
      </c>
      <c r="AH79" s="334"/>
      <c r="AI79" s="334"/>
      <c r="AJ79" s="400" t="s">
        <v>2</v>
      </c>
      <c r="AK79" s="334"/>
    </row>
    <row r="80" spans="14:37">
      <c r="T80" s="435"/>
      <c r="U80" s="434">
        <v>13.5</v>
      </c>
      <c r="V80" s="434">
        <v>6.8</v>
      </c>
      <c r="W80" s="435"/>
      <c r="X80" s="434">
        <v>23.2</v>
      </c>
      <c r="Y80" s="434">
        <v>6.5</v>
      </c>
      <c r="Z80" s="435"/>
      <c r="AF80" s="435"/>
      <c r="AI80" s="435"/>
    </row>
    <row r="81" spans="20:35">
      <c r="T81" s="435"/>
      <c r="U81" s="434">
        <v>4.8</v>
      </c>
      <c r="V81" s="434">
        <v>2.4</v>
      </c>
      <c r="W81" s="435"/>
      <c r="X81" s="434">
        <v>8.1</v>
      </c>
      <c r="Y81" s="434">
        <v>2.2999999999999998</v>
      </c>
      <c r="Z81" s="435"/>
      <c r="AF81" s="435"/>
      <c r="AI81" s="435"/>
    </row>
    <row r="82" spans="20:35">
      <c r="T82" s="435"/>
      <c r="U82" s="434">
        <v>4.8</v>
      </c>
      <c r="V82" s="434">
        <v>2.4</v>
      </c>
      <c r="W82" s="435"/>
      <c r="X82" s="434">
        <v>8.1999999999999993</v>
      </c>
      <c r="Y82" s="434">
        <v>2.2999999999999998</v>
      </c>
      <c r="Z82" s="435"/>
      <c r="AF82" s="435"/>
      <c r="AI82" s="435"/>
    </row>
    <row r="83" spans="20:35">
      <c r="T83" s="435"/>
      <c r="U83" s="434">
        <v>4.8</v>
      </c>
      <c r="V83" s="434">
        <v>2.4</v>
      </c>
      <c r="W83" s="435"/>
      <c r="X83" s="434">
        <v>8.1</v>
      </c>
      <c r="Y83" s="434">
        <v>2.2999999999999998</v>
      </c>
      <c r="Z83" s="435"/>
      <c r="AF83" s="435"/>
      <c r="AI83" s="435"/>
    </row>
    <row r="84" spans="20:35">
      <c r="T84" s="435"/>
      <c r="U84" s="434">
        <v>6.8</v>
      </c>
      <c r="V84" s="434">
        <v>3.4</v>
      </c>
      <c r="W84" s="435"/>
      <c r="X84" s="434">
        <v>11.6</v>
      </c>
      <c r="Y84" s="434">
        <v>3.3</v>
      </c>
      <c r="Z84" s="435"/>
      <c r="AF84" s="435"/>
      <c r="AI84" s="435"/>
    </row>
    <row r="85" spans="20:35">
      <c r="T85" s="435"/>
      <c r="U85" s="434">
        <v>15.2</v>
      </c>
      <c r="V85" s="434">
        <v>7.6</v>
      </c>
      <c r="W85" s="435"/>
      <c r="X85" s="434">
        <v>26</v>
      </c>
      <c r="Y85" s="434">
        <v>7.3</v>
      </c>
      <c r="Z85" s="435"/>
      <c r="AF85" s="435"/>
      <c r="AI85" s="435"/>
    </row>
    <row r="86" spans="20:35">
      <c r="T86" s="435"/>
      <c r="U86" s="434">
        <v>4.9000000000000004</v>
      </c>
      <c r="V86" s="434">
        <v>2.4</v>
      </c>
      <c r="W86" s="435"/>
      <c r="X86" s="434">
        <v>8.3000000000000007</v>
      </c>
      <c r="Y86" s="434">
        <v>2.2999999999999998</v>
      </c>
      <c r="Z86" s="435"/>
      <c r="AF86" s="435"/>
      <c r="AI86" s="435"/>
    </row>
    <row r="87" spans="20:35">
      <c r="T87" s="435"/>
      <c r="U87" s="434">
        <v>4.2</v>
      </c>
      <c r="V87" s="434">
        <v>2.1</v>
      </c>
      <c r="W87" s="435"/>
      <c r="X87" s="434">
        <v>7.3</v>
      </c>
      <c r="Y87" s="434">
        <v>2</v>
      </c>
      <c r="Z87" s="435"/>
      <c r="AF87" s="435"/>
      <c r="AI87" s="435"/>
    </row>
    <row r="88" spans="20:35">
      <c r="T88" s="435"/>
      <c r="U88" s="434">
        <v>6.5</v>
      </c>
      <c r="V88" s="434">
        <v>3.2</v>
      </c>
      <c r="W88" s="435"/>
      <c r="X88" s="434">
        <v>11.1</v>
      </c>
      <c r="Y88" s="434">
        <v>3.1</v>
      </c>
      <c r="Z88" s="435"/>
      <c r="AF88" s="435"/>
      <c r="AI88" s="435"/>
    </row>
    <row r="89" spans="20:35">
      <c r="T89" s="435"/>
      <c r="U89" s="434">
        <v>4.7</v>
      </c>
      <c r="V89" s="434">
        <v>2.4</v>
      </c>
      <c r="W89" s="435"/>
      <c r="X89" s="434">
        <v>8.1</v>
      </c>
      <c r="Y89" s="434">
        <v>2.2999999999999998</v>
      </c>
      <c r="Z89" s="435"/>
      <c r="AF89" s="435"/>
      <c r="AI89" s="435"/>
    </row>
    <row r="90" spans="20:35">
      <c r="T90" s="435"/>
      <c r="U90" s="434">
        <v>3.4</v>
      </c>
      <c r="V90" s="434">
        <v>1.7</v>
      </c>
      <c r="W90" s="435"/>
      <c r="X90" s="434">
        <v>5.8</v>
      </c>
      <c r="Y90" s="434">
        <v>1.6</v>
      </c>
      <c r="Z90" s="435"/>
      <c r="AF90" s="435"/>
      <c r="AI90" s="435"/>
    </row>
    <row r="91" spans="20:35">
      <c r="T91" s="435"/>
      <c r="U91" s="434">
        <v>6.6</v>
      </c>
      <c r="V91" s="434">
        <v>3.3</v>
      </c>
      <c r="W91" s="435"/>
      <c r="X91" s="434">
        <v>11.3</v>
      </c>
      <c r="Y91" s="434">
        <v>3.2</v>
      </c>
      <c r="Z91" s="435"/>
      <c r="AF91" s="435"/>
      <c r="AI91" s="435"/>
    </row>
    <row r="92" spans="20:35">
      <c r="T92" s="435"/>
      <c r="U92" s="434">
        <v>4.9000000000000004</v>
      </c>
      <c r="V92" s="434">
        <v>2.4</v>
      </c>
      <c r="W92" s="435"/>
      <c r="X92" s="434">
        <v>8.3000000000000007</v>
      </c>
      <c r="Y92" s="434">
        <v>2.2999999999999998</v>
      </c>
      <c r="Z92" s="435"/>
      <c r="AF92" s="435"/>
      <c r="AI92" s="435"/>
    </row>
    <row r="93" spans="20:35">
      <c r="T93" s="435"/>
      <c r="U93" s="434">
        <v>2.9</v>
      </c>
      <c r="V93" s="434">
        <v>1.5</v>
      </c>
      <c r="W93" s="435"/>
      <c r="X93" s="434">
        <v>5</v>
      </c>
      <c r="Y93" s="434">
        <v>1.4</v>
      </c>
      <c r="Z93" s="435"/>
      <c r="AF93" s="435"/>
      <c r="AI93" s="435"/>
    </row>
    <row r="94" spans="20:35">
      <c r="T94" s="435"/>
      <c r="U94" s="434">
        <v>2.6</v>
      </c>
      <c r="V94" s="434">
        <v>1.3</v>
      </c>
      <c r="W94" s="435"/>
      <c r="X94" s="434">
        <v>4.4000000000000004</v>
      </c>
      <c r="Y94" s="434">
        <v>1.2</v>
      </c>
      <c r="Z94" s="435"/>
      <c r="AF94" s="435"/>
      <c r="AI94" s="435"/>
    </row>
    <row r="95" spans="20:35">
      <c r="T95" s="435"/>
      <c r="U95" s="434">
        <v>3.2</v>
      </c>
      <c r="V95" s="434">
        <v>1.6</v>
      </c>
      <c r="W95" s="435"/>
      <c r="X95" s="434">
        <v>5.5</v>
      </c>
      <c r="Y95" s="434">
        <v>1.5</v>
      </c>
      <c r="Z95" s="435"/>
      <c r="AF95" s="435"/>
      <c r="AI95" s="435"/>
    </row>
    <row r="96" spans="20:35">
      <c r="T96" s="435"/>
      <c r="U96" s="434">
        <v>4</v>
      </c>
      <c r="V96" s="434">
        <v>2</v>
      </c>
      <c r="W96" s="435"/>
      <c r="X96" s="434">
        <v>6.9</v>
      </c>
      <c r="Y96" s="434">
        <v>1.9</v>
      </c>
      <c r="Z96" s="435"/>
      <c r="AF96" s="435"/>
      <c r="AI96" s="435"/>
    </row>
    <row r="97" spans="20:35">
      <c r="T97" s="435"/>
      <c r="U97" s="434">
        <v>3.3</v>
      </c>
      <c r="V97" s="434">
        <v>1.6</v>
      </c>
      <c r="W97" s="435"/>
      <c r="X97" s="434">
        <v>5.6</v>
      </c>
      <c r="Y97" s="434">
        <v>1.6</v>
      </c>
      <c r="Z97" s="435"/>
      <c r="AF97" s="435"/>
      <c r="AI97" s="435"/>
    </row>
    <row r="98" spans="20:35">
      <c r="T98" s="435"/>
      <c r="U98" s="434">
        <v>4.4000000000000004</v>
      </c>
      <c r="V98" s="434">
        <v>2.2000000000000002</v>
      </c>
      <c r="W98" s="435"/>
      <c r="X98" s="434">
        <v>7.6</v>
      </c>
      <c r="Y98" s="434">
        <v>2.1</v>
      </c>
      <c r="Z98" s="435"/>
      <c r="AF98" s="435"/>
      <c r="AI98" s="435"/>
    </row>
    <row r="99" spans="20:35">
      <c r="T99" s="435"/>
      <c r="U99" s="434">
        <v>10.199999999999999</v>
      </c>
      <c r="V99" s="434">
        <v>5.0999999999999996</v>
      </c>
      <c r="W99" s="435"/>
      <c r="X99" s="434">
        <v>17.399999999999999</v>
      </c>
      <c r="Y99" s="434">
        <v>4.9000000000000004</v>
      </c>
      <c r="Z99" s="435"/>
      <c r="AF99" s="435"/>
      <c r="AI99" s="435"/>
    </row>
    <row r="100" spans="20:35">
      <c r="T100" s="435"/>
      <c r="U100" s="434">
        <v>3.9</v>
      </c>
      <c r="V100" s="434">
        <v>2</v>
      </c>
      <c r="W100" s="435"/>
      <c r="X100" s="434">
        <v>6.7</v>
      </c>
      <c r="Y100" s="434">
        <v>1.9</v>
      </c>
      <c r="Z100" s="435"/>
      <c r="AF100" s="435"/>
      <c r="AI100" s="435"/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81F4-1D24-4DB0-9BB5-263C1F418ECE}">
  <dimension ref="A1:Q33"/>
  <sheetViews>
    <sheetView workbookViewId="0">
      <selection activeCell="D5" sqref="D5"/>
    </sheetView>
  </sheetViews>
  <sheetFormatPr defaultRowHeight="14.4"/>
  <cols>
    <col min="1" max="1" width="33.33203125" customWidth="1"/>
    <col min="2" max="2" width="21.88671875" style="32" bestFit="1" customWidth="1"/>
    <col min="3" max="3" width="14.88671875" bestFit="1" customWidth="1"/>
    <col min="7" max="7" width="8.88671875" customWidth="1"/>
    <col min="11" max="11" width="20.77734375" bestFit="1" customWidth="1"/>
    <col min="15" max="15" width="9.21875" bestFit="1" customWidth="1"/>
  </cols>
  <sheetData>
    <row r="1" spans="1:17">
      <c r="C1" t="s">
        <v>75</v>
      </c>
    </row>
    <row r="2" spans="1:17">
      <c r="A2" t="s">
        <v>87</v>
      </c>
      <c r="B2" s="36" t="s">
        <v>172</v>
      </c>
      <c r="E2" s="37">
        <f>1/10/10/10</f>
        <v>1E-3</v>
      </c>
      <c r="K2" s="177" t="s">
        <v>275</v>
      </c>
    </row>
    <row r="3" spans="1:17" s="37" customFormat="1">
      <c r="A3" s="37" t="s">
        <v>23</v>
      </c>
      <c r="B3" s="38"/>
      <c r="C3" s="37" t="s">
        <v>76</v>
      </c>
      <c r="D3" s="37" t="s">
        <v>77</v>
      </c>
      <c r="E3" s="37" t="s">
        <v>78</v>
      </c>
      <c r="G3" s="37" t="s">
        <v>79</v>
      </c>
      <c r="I3" s="37" t="s">
        <v>86</v>
      </c>
      <c r="L3" s="37" t="s">
        <v>76</v>
      </c>
      <c r="M3" s="37" t="s">
        <v>77</v>
      </c>
      <c r="N3" s="37" t="s">
        <v>78</v>
      </c>
      <c r="P3" s="37" t="s">
        <v>90</v>
      </c>
      <c r="Q3" s="37" t="s">
        <v>89</v>
      </c>
    </row>
    <row r="4" spans="1:17" s="37" customFormat="1">
      <c r="B4" s="38"/>
      <c r="C4" s="37">
        <v>-8.1080000000000005</v>
      </c>
      <c r="D4" s="37">
        <v>0.38002000000000002</v>
      </c>
      <c r="E4" s="37">
        <f>-5.5428*E2</f>
        <v>-5.5427999999999996E-3</v>
      </c>
      <c r="G4" s="37" t="s">
        <v>90</v>
      </c>
      <c r="H4" s="37" t="s">
        <v>89</v>
      </c>
      <c r="L4">
        <v>-7.2160000000000002</v>
      </c>
      <c r="M4">
        <v>0.38079000000000002</v>
      </c>
      <c r="N4">
        <f>-5.376*E2</f>
        <v>-5.3760000000000006E-3</v>
      </c>
    </row>
    <row r="5" spans="1:17">
      <c r="A5" t="s">
        <v>80</v>
      </c>
      <c r="B5" s="32">
        <f>EXP(F5)</f>
        <v>1.4642712610648478E-2</v>
      </c>
      <c r="C5">
        <v>-8.1080000000000005</v>
      </c>
      <c r="D5">
        <f>$D$4*G5</f>
        <v>4.7502500000000003</v>
      </c>
      <c r="E5">
        <f>$E$4*H5</f>
        <v>-0.86606249999999996</v>
      </c>
      <c r="F5">
        <f>C5+D5+E5</f>
        <v>-4.2238125000000002</v>
      </c>
      <c r="G5" s="33">
        <v>12.5</v>
      </c>
      <c r="H5" s="33">
        <f>G5^2</f>
        <v>156.25</v>
      </c>
      <c r="I5" s="34">
        <v>0.92</v>
      </c>
      <c r="K5" s="3">
        <f>EXP(O5)</f>
        <v>0.15964239442664477</v>
      </c>
      <c r="L5">
        <f>L4</f>
        <v>-7.2160000000000002</v>
      </c>
      <c r="M5">
        <f>M4*P5</f>
        <v>7.4254050000000005</v>
      </c>
      <c r="N5" s="3">
        <f>N4*Q5</f>
        <v>-2.0442240000000003</v>
      </c>
      <c r="O5" s="3">
        <f>L5+M5+N5</f>
        <v>-1.834819</v>
      </c>
      <c r="P5" s="33">
        <v>19.5</v>
      </c>
      <c r="Q5" s="33">
        <f>P5^2</f>
        <v>380.25</v>
      </c>
    </row>
    <row r="6" spans="1:17">
      <c r="A6" t="s">
        <v>88</v>
      </c>
      <c r="B6" s="32">
        <f>EXP(F6)</f>
        <v>6.0491059604342312E-2</v>
      </c>
      <c r="C6">
        <v>-8.1080000000000005</v>
      </c>
      <c r="D6">
        <f>$D$4*G6</f>
        <v>7.4103900000000005</v>
      </c>
      <c r="E6">
        <f>$E$4*H6</f>
        <v>-2.1076497000000001</v>
      </c>
      <c r="F6">
        <f>C6+D6+E6</f>
        <v>-2.8052597000000001</v>
      </c>
      <c r="G6" s="33">
        <v>19.5</v>
      </c>
      <c r="H6" s="33">
        <f t="shared" ref="H6:H8" si="0">G6^2</f>
        <v>380.25</v>
      </c>
      <c r="M6" s="31"/>
    </row>
    <row r="7" spans="1:17" ht="15" customHeight="1">
      <c r="A7" t="s">
        <v>173</v>
      </c>
      <c r="B7" s="32">
        <f>EXP(F7)</f>
        <v>2.0772842383997823E-2</v>
      </c>
      <c r="C7">
        <v>-8.1080000000000005</v>
      </c>
      <c r="D7">
        <f>$D$4*G7</f>
        <v>5.3202800000000003</v>
      </c>
      <c r="E7">
        <f>$E$4*H7</f>
        <v>-1.0863887999999999</v>
      </c>
      <c r="F7">
        <f>C7+D7+E7</f>
        <v>-3.8741088000000001</v>
      </c>
      <c r="G7" s="33">
        <v>14</v>
      </c>
      <c r="H7" s="33">
        <f t="shared" si="0"/>
        <v>196</v>
      </c>
    </row>
    <row r="8" spans="1:17" ht="15" customHeight="1">
      <c r="A8" s="31" t="s">
        <v>54</v>
      </c>
      <c r="B8" s="32">
        <f>EXP(F8)</f>
        <v>1.2959538477449689E-2</v>
      </c>
      <c r="C8">
        <v>-8.1080000000000005</v>
      </c>
      <c r="D8">
        <f>$D$4*G8</f>
        <v>4.5602400000000003</v>
      </c>
      <c r="E8">
        <f>$E$4*H8</f>
        <v>-0.79816319999999996</v>
      </c>
      <c r="F8">
        <f>C8+D8+E8</f>
        <v>-4.3459232000000005</v>
      </c>
      <c r="G8" s="33">
        <v>12</v>
      </c>
      <c r="H8" s="33">
        <f t="shared" si="0"/>
        <v>144</v>
      </c>
    </row>
    <row r="9" spans="1:17" s="37" customFormat="1">
      <c r="A9" s="37" t="s">
        <v>85</v>
      </c>
      <c r="B9" s="38"/>
      <c r="C9" s="37" t="s">
        <v>76</v>
      </c>
      <c r="D9" s="37" t="s">
        <v>77</v>
      </c>
      <c r="E9" s="37" t="s">
        <v>78</v>
      </c>
      <c r="G9" s="39"/>
      <c r="L9" s="37" t="s">
        <v>76</v>
      </c>
      <c r="M9" s="37" t="s">
        <v>77</v>
      </c>
      <c r="N9" s="37" t="s">
        <v>78</v>
      </c>
      <c r="P9" s="37" t="s">
        <v>90</v>
      </c>
      <c r="Q9" s="37" t="s">
        <v>89</v>
      </c>
    </row>
    <row r="10" spans="1:17" s="37" customFormat="1">
      <c r="B10" s="38"/>
      <c r="C10" s="37">
        <v>-8.4510000000000005</v>
      </c>
      <c r="D10" s="37">
        <v>0.49661</v>
      </c>
      <c r="E10" s="37">
        <f>-9.7557*E2</f>
        <v>-9.7556999999999991E-3</v>
      </c>
      <c r="G10" s="39"/>
      <c r="L10" s="37">
        <v>-8.0329999999999995</v>
      </c>
      <c r="M10" s="37">
        <v>0.49661</v>
      </c>
      <c r="N10" s="37">
        <f>-9.7557*E2</f>
        <v>-9.7556999999999991E-3</v>
      </c>
      <c r="P10" s="39">
        <v>7.5</v>
      </c>
      <c r="Q10" s="37">
        <f>P10*P10</f>
        <v>56.25</v>
      </c>
    </row>
    <row r="11" spans="1:17">
      <c r="A11" t="s">
        <v>81</v>
      </c>
      <c r="B11" s="32">
        <f t="shared" ref="B11:B16" si="1">EXP(F11)</f>
        <v>1.0782970099604626E-3</v>
      </c>
      <c r="C11">
        <v>-8.4510000000000005</v>
      </c>
      <c r="D11">
        <f>$D$10*G11</f>
        <v>1.738135</v>
      </c>
      <c r="E11">
        <f t="shared" ref="E11:E19" si="2">$E$10*H11</f>
        <v>-0.11950732499999998</v>
      </c>
      <c r="F11">
        <f>C11+D11+E11</f>
        <v>-6.8323723250000006</v>
      </c>
      <c r="G11" s="33">
        <v>3.5</v>
      </c>
      <c r="H11">
        <f t="shared" ref="H11:H27" si="3">G11*G11</f>
        <v>12.25</v>
      </c>
      <c r="I11" s="34">
        <v>0.82</v>
      </c>
    </row>
    <row r="12" spans="1:17">
      <c r="A12" t="s">
        <v>82</v>
      </c>
      <c r="B12" s="32">
        <f t="shared" si="1"/>
        <v>4.4030833064399806E-4</v>
      </c>
      <c r="C12">
        <v>-8.4510000000000005</v>
      </c>
      <c r="D12">
        <f>$D$10*G12</f>
        <v>0.74491499999999999</v>
      </c>
      <c r="E12">
        <f t="shared" si="2"/>
        <v>-2.1950325E-2</v>
      </c>
      <c r="F12">
        <f t="shared" ref="F12:F16" si="4">C12+D12+E12</f>
        <v>-7.7280353250000005</v>
      </c>
      <c r="G12" s="33">
        <v>1.5</v>
      </c>
      <c r="H12">
        <f t="shared" si="3"/>
        <v>2.25</v>
      </c>
    </row>
    <row r="13" spans="1:17">
      <c r="A13" t="s">
        <v>52</v>
      </c>
      <c r="B13" s="32">
        <f t="shared" si="1"/>
        <v>5.5485552134964297E-4</v>
      </c>
      <c r="C13">
        <v>-8.4510000000000005</v>
      </c>
      <c r="D13">
        <f t="shared" ref="D13:D16" si="5">$D$10*G13</f>
        <v>0.99321999999999999</v>
      </c>
      <c r="E13">
        <f t="shared" si="2"/>
        <v>-3.9022799999999996E-2</v>
      </c>
      <c r="F13">
        <f t="shared" si="4"/>
        <v>-7.4968028000000002</v>
      </c>
      <c r="G13" s="33">
        <v>2</v>
      </c>
      <c r="H13">
        <f t="shared" si="3"/>
        <v>4</v>
      </c>
    </row>
    <row r="14" spans="1:17">
      <c r="A14" t="s">
        <v>74</v>
      </c>
      <c r="B14" s="32">
        <f t="shared" si="1"/>
        <v>4.4030833064399806E-4</v>
      </c>
      <c r="C14">
        <v>-8.4510000000000005</v>
      </c>
      <c r="D14">
        <f t="shared" si="5"/>
        <v>0.74491499999999999</v>
      </c>
      <c r="E14">
        <f t="shared" si="2"/>
        <v>-2.1950325E-2</v>
      </c>
      <c r="F14">
        <f t="shared" si="4"/>
        <v>-7.7280353250000005</v>
      </c>
      <c r="G14" s="33">
        <v>1.5</v>
      </c>
      <c r="H14">
        <f t="shared" si="3"/>
        <v>2.25</v>
      </c>
    </row>
    <row r="15" spans="1:17">
      <c r="A15" t="s">
        <v>83</v>
      </c>
      <c r="B15" s="32">
        <f t="shared" si="1"/>
        <v>1.0782970099604626E-3</v>
      </c>
      <c r="C15">
        <v>-8.4510000000000005</v>
      </c>
      <c r="D15">
        <f t="shared" si="5"/>
        <v>1.738135</v>
      </c>
      <c r="E15">
        <f t="shared" si="2"/>
        <v>-0.11950732499999998</v>
      </c>
      <c r="F15">
        <f t="shared" si="4"/>
        <v>-6.8323723250000006</v>
      </c>
      <c r="G15" s="33">
        <v>3.5</v>
      </c>
      <c r="H15">
        <f t="shared" si="3"/>
        <v>12.25</v>
      </c>
    </row>
    <row r="16" spans="1:17">
      <c r="A16" t="s">
        <v>84</v>
      </c>
      <c r="B16" s="32">
        <f t="shared" si="1"/>
        <v>1.1556930253586391E-2</v>
      </c>
      <c r="C16">
        <v>-8.4510000000000005</v>
      </c>
      <c r="D16">
        <f t="shared" si="5"/>
        <v>4.9661</v>
      </c>
      <c r="E16">
        <f t="shared" si="2"/>
        <v>-0.97556999999999994</v>
      </c>
      <c r="F16">
        <f t="shared" si="4"/>
        <v>-4.4604700000000008</v>
      </c>
      <c r="G16" s="33">
        <v>10</v>
      </c>
      <c r="H16">
        <f t="shared" si="3"/>
        <v>100</v>
      </c>
    </row>
    <row r="17" spans="1:17">
      <c r="A17" s="31" t="s">
        <v>50</v>
      </c>
      <c r="B17" s="32">
        <f t="shared" ref="B17:B27" si="6">EXP(F17)</f>
        <v>1.0782970099604626E-3</v>
      </c>
      <c r="C17">
        <v>-8.4510000000000005</v>
      </c>
      <c r="D17">
        <f t="shared" ref="D17:D19" si="7">$D$10*G17</f>
        <v>1.738135</v>
      </c>
      <c r="E17">
        <f t="shared" si="2"/>
        <v>-0.11950732499999998</v>
      </c>
      <c r="F17">
        <f t="shared" ref="F17:F27" si="8">C17+D17+E17</f>
        <v>-6.8323723250000006</v>
      </c>
      <c r="G17" s="35">
        <v>3.5</v>
      </c>
      <c r="H17">
        <f t="shared" si="3"/>
        <v>12.25</v>
      </c>
    </row>
    <row r="18" spans="1:17">
      <c r="A18" t="s">
        <v>57</v>
      </c>
      <c r="B18" s="32">
        <f>EXP(F18)</f>
        <v>5.1170195682599482E-3</v>
      </c>
      <c r="C18">
        <v>-8.4510000000000005</v>
      </c>
      <c r="D18">
        <f t="shared" si="7"/>
        <v>3.7245749999999997</v>
      </c>
      <c r="E18">
        <f t="shared" si="2"/>
        <v>-0.54875812499999999</v>
      </c>
      <c r="F18">
        <f>C18+D18+E18</f>
        <v>-5.2751831250000008</v>
      </c>
      <c r="G18" s="33">
        <v>7.5</v>
      </c>
      <c r="H18">
        <f>G18*G18</f>
        <v>56.25</v>
      </c>
      <c r="K18" s="32">
        <f>EXP(O18)</f>
        <v>7.7723468135508667E-3</v>
      </c>
      <c r="L18">
        <f>L10</f>
        <v>-8.0329999999999995</v>
      </c>
      <c r="M18">
        <f>M10*P10</f>
        <v>3.7245749999999997</v>
      </c>
      <c r="N18">
        <f>N10*Q10</f>
        <v>-0.54875812499999999</v>
      </c>
      <c r="O18">
        <f>L18+M18+N18</f>
        <v>-4.8571831249999997</v>
      </c>
    </row>
    <row r="19" spans="1:17" s="530" customFormat="1">
      <c r="A19" s="530" t="s">
        <v>557</v>
      </c>
      <c r="B19" s="557">
        <f>EXP(F19)</f>
        <v>8.6830172001515387E-4</v>
      </c>
      <c r="C19">
        <v>-8.4510000000000005</v>
      </c>
      <c r="D19" s="530">
        <f>$D$10*G19</f>
        <v>1.48983</v>
      </c>
      <c r="E19" s="530">
        <f>$E$10*H19</f>
        <v>-8.7801299999999999E-2</v>
      </c>
      <c r="F19" s="530">
        <f>C19+D19+E19</f>
        <v>-7.0489713000000007</v>
      </c>
      <c r="G19" s="530">
        <v>3</v>
      </c>
      <c r="H19" s="530">
        <v>9</v>
      </c>
      <c r="K19" s="557">
        <f>EXP(O19)</f>
        <v>1.3188814341500437E-3</v>
      </c>
      <c r="L19" s="530">
        <f>L10</f>
        <v>-8.0329999999999995</v>
      </c>
      <c r="M19" s="530">
        <f>M10*P19</f>
        <v>1.48983</v>
      </c>
      <c r="N19" s="530">
        <f>N10*Q19</f>
        <v>-8.7801299999999999E-2</v>
      </c>
      <c r="O19" s="530">
        <f>N19+M19+L19</f>
        <v>-6.6309712999999997</v>
      </c>
      <c r="P19" s="530">
        <v>3</v>
      </c>
      <c r="Q19" s="530">
        <f>P19*P19</f>
        <v>9</v>
      </c>
    </row>
    <row r="20" spans="1:17" s="37" customFormat="1">
      <c r="A20" s="37" t="s">
        <v>92</v>
      </c>
      <c r="B20" s="38"/>
      <c r="C20" s="37" t="s">
        <v>76</v>
      </c>
      <c r="D20" s="37" t="s">
        <v>77</v>
      </c>
      <c r="E20" s="37" t="s">
        <v>78</v>
      </c>
      <c r="L20" s="37" t="s">
        <v>76</v>
      </c>
      <c r="M20" s="37" t="s">
        <v>77</v>
      </c>
      <c r="N20" s="37" t="s">
        <v>78</v>
      </c>
    </row>
    <row r="21" spans="1:17" s="37" customFormat="1">
      <c r="B21" s="38"/>
      <c r="C21" s="37">
        <v>-7.5339999999999998</v>
      </c>
      <c r="D21" s="37">
        <v>0.44208999999999998</v>
      </c>
      <c r="E21" s="37">
        <f>-8.3742*E2</f>
        <v>-8.3742E-3</v>
      </c>
      <c r="I21" s="40">
        <v>0.79</v>
      </c>
      <c r="L21" s="37">
        <v>-6.68</v>
      </c>
      <c r="M21" s="37">
        <v>0.43285000000000001</v>
      </c>
      <c r="N21" s="37">
        <f>-7.6784*E2</f>
        <v>-7.6784000000000002E-3</v>
      </c>
      <c r="P21" s="37" t="s">
        <v>90</v>
      </c>
      <c r="Q21" s="37" t="s">
        <v>89</v>
      </c>
    </row>
    <row r="22" spans="1:17">
      <c r="A22" t="s">
        <v>91</v>
      </c>
      <c r="B22" s="32">
        <f>EXP(F22)</f>
        <v>4.8038058227105997E-3</v>
      </c>
      <c r="C22">
        <v>-7.5339999999999998</v>
      </c>
      <c r="D22">
        <f>D21*G22</f>
        <v>2.4535994999999997</v>
      </c>
      <c r="E22">
        <f>E21*H22</f>
        <v>-0.25794629549999998</v>
      </c>
      <c r="F22" s="41">
        <f>C22+D22+E22</f>
        <v>-5.3383467954999997</v>
      </c>
      <c r="G22" s="41">
        <f>(4.1+7)/2</f>
        <v>5.55</v>
      </c>
      <c r="H22" s="41">
        <f>G22*G22</f>
        <v>30.802499999999998</v>
      </c>
      <c r="K22" s="32">
        <f>EXP(O22)</f>
        <v>1.0952402767161921E-2</v>
      </c>
      <c r="L22">
        <f>L21</f>
        <v>-6.68</v>
      </c>
      <c r="M22">
        <f>M21*P22</f>
        <v>2.4023175000000001</v>
      </c>
      <c r="N22">
        <f>N21*Q22</f>
        <v>-0.23651391599999999</v>
      </c>
      <c r="O22">
        <f>L22+M22+N22</f>
        <v>-4.514196415999999</v>
      </c>
      <c r="P22" s="41">
        <f>(4.1+7)/2</f>
        <v>5.55</v>
      </c>
      <c r="Q22" s="41">
        <f>P22*P22</f>
        <v>30.802499999999998</v>
      </c>
    </row>
    <row r="23" spans="1:17">
      <c r="A23" s="31" t="s">
        <v>99</v>
      </c>
      <c r="B23" s="32">
        <f>EXP(F23)</f>
        <v>6.1615303860793426E-2</v>
      </c>
      <c r="C23">
        <v>-7.5339999999999998</v>
      </c>
      <c r="D23">
        <f>D21*G23</f>
        <v>6.6313499999999994</v>
      </c>
      <c r="E23">
        <f>E21*H23</f>
        <v>-1.8841950000000001</v>
      </c>
      <c r="F23" s="41">
        <f>C23+D23+E23</f>
        <v>-2.7868450000000005</v>
      </c>
      <c r="G23">
        <v>15</v>
      </c>
      <c r="H23" s="41">
        <f>G23*G23</f>
        <v>225</v>
      </c>
      <c r="Q23" s="41"/>
    </row>
    <row r="24" spans="1:17" s="37" customFormat="1">
      <c r="A24" s="37" t="s">
        <v>94</v>
      </c>
      <c r="B24" s="38"/>
      <c r="C24" s="37" t="s">
        <v>76</v>
      </c>
      <c r="D24" s="37" t="s">
        <v>77</v>
      </c>
      <c r="E24" s="37" t="s">
        <v>78</v>
      </c>
      <c r="L24" s="37" t="s">
        <v>76</v>
      </c>
      <c r="M24" s="37" t="s">
        <v>77</v>
      </c>
      <c r="N24" s="37" t="s">
        <v>78</v>
      </c>
    </row>
    <row r="25" spans="1:17" s="37" customFormat="1">
      <c r="B25" s="38"/>
      <c r="E25" s="37">
        <f>1/10/10</f>
        <v>0.01</v>
      </c>
      <c r="L25" s="37">
        <v>-8.5030000000000001</v>
      </c>
      <c r="M25" s="37">
        <v>0.69325000000000003</v>
      </c>
      <c r="N25" s="37">
        <f>1.7613*E25</f>
        <v>1.7613E-2</v>
      </c>
      <c r="P25" s="37" t="s">
        <v>90</v>
      </c>
      <c r="Q25" s="37" t="s">
        <v>89</v>
      </c>
    </row>
    <row r="26" spans="1:17">
      <c r="C26">
        <v>-9.3140000000000001</v>
      </c>
      <c r="D26">
        <v>0.66296999999999995</v>
      </c>
      <c r="E26">
        <f>-1.6486*E25</f>
        <v>-1.6486000000000001E-2</v>
      </c>
      <c r="I26" s="34">
        <v>0.95</v>
      </c>
    </row>
    <row r="27" spans="1:17">
      <c r="A27" t="s">
        <v>93</v>
      </c>
      <c r="B27" s="3">
        <f t="shared" si="6"/>
        <v>5.1484349690248685E-3</v>
      </c>
      <c r="C27">
        <v>-9.3140000000000001</v>
      </c>
      <c r="D27">
        <f>D26*G27</f>
        <v>4.9722749999999998</v>
      </c>
      <c r="E27">
        <f>E26*H27</f>
        <v>-0.92733750000000004</v>
      </c>
      <c r="F27">
        <f t="shared" si="8"/>
        <v>-5.2690625000000004</v>
      </c>
      <c r="G27">
        <v>7.5</v>
      </c>
      <c r="H27">
        <f t="shared" si="3"/>
        <v>56.25</v>
      </c>
      <c r="K27" s="32">
        <f>EXP(O27)</f>
        <v>9.8974429508748726E-2</v>
      </c>
      <c r="L27">
        <f>L25</f>
        <v>-8.5030000000000001</v>
      </c>
      <c r="M27">
        <f>M25*P27</f>
        <v>5.1993749999999999</v>
      </c>
      <c r="N27">
        <f>N25*Q27</f>
        <v>0.99073125000000006</v>
      </c>
      <c r="O27">
        <f>L27+M27+N27</f>
        <v>-2.3128937500000002</v>
      </c>
      <c r="P27">
        <v>7.5</v>
      </c>
      <c r="Q27">
        <f t="shared" ref="Q27" si="9">P27*P27</f>
        <v>56.25</v>
      </c>
    </row>
    <row r="28" spans="1:17">
      <c r="A28" s="31" t="s">
        <v>73</v>
      </c>
      <c r="B28" s="3">
        <f t="shared" ref="B28" si="10">EXP(F28)</f>
        <v>1.0531431006547043E-4</v>
      </c>
      <c r="C28">
        <v>-9.3140000000000001</v>
      </c>
      <c r="D28">
        <f>D26*G28</f>
        <v>0.16574249999999999</v>
      </c>
      <c r="E28">
        <f>E26*H28</f>
        <v>-1.030375E-2</v>
      </c>
      <c r="F28">
        <f t="shared" ref="F28" si="11">C28+D28+E28</f>
        <v>-9.15856125</v>
      </c>
      <c r="G28">
        <v>0.25</v>
      </c>
      <c r="H28">
        <v>0.625</v>
      </c>
    </row>
    <row r="29" spans="1:17">
      <c r="A29" t="s">
        <v>104</v>
      </c>
      <c r="B29" s="3">
        <f t="shared" ref="B29" si="12">EXP(F29)</f>
        <v>1.6428873596614289E-3</v>
      </c>
      <c r="C29">
        <v>-9.3140000000000001</v>
      </c>
      <c r="D29">
        <f>D26*G29</f>
        <v>3.3148499999999999</v>
      </c>
      <c r="E29">
        <f>E26*H29</f>
        <v>-0.41215000000000002</v>
      </c>
      <c r="F29">
        <f t="shared" ref="F29" si="13">C29+D29+E29</f>
        <v>-6.4113000000000007</v>
      </c>
      <c r="G29">
        <v>5</v>
      </c>
      <c r="H29">
        <f>G29*G29</f>
        <v>25</v>
      </c>
    </row>
    <row r="31" spans="1:17" s="37" customFormat="1" ht="16.2" customHeight="1">
      <c r="A31" s="37" t="s">
        <v>27</v>
      </c>
      <c r="B31" s="38"/>
      <c r="C31" s="37" t="s">
        <v>76</v>
      </c>
      <c r="D31" s="37" t="s">
        <v>77</v>
      </c>
      <c r="E31" s="37" t="s">
        <v>78</v>
      </c>
      <c r="L31" s="37" t="s">
        <v>76</v>
      </c>
      <c r="M31" s="37" t="s">
        <v>77</v>
      </c>
      <c r="N31" s="37" t="s">
        <v>78</v>
      </c>
    </row>
    <row r="32" spans="1:17" s="37" customFormat="1" ht="16.2" customHeight="1">
      <c r="B32" s="38"/>
      <c r="C32" s="37">
        <v>-7.0359999999999996</v>
      </c>
      <c r="D32" s="37">
        <v>0.27650999999999998</v>
      </c>
      <c r="E32" s="37">
        <f>-2.8727*E2</f>
        <v>-2.8727000000000002E-3</v>
      </c>
      <c r="I32" s="40">
        <v>0.9</v>
      </c>
      <c r="L32" s="37">
        <v>-5.8650000000000002</v>
      </c>
      <c r="M32" s="37">
        <v>0.2792</v>
      </c>
      <c r="N32" s="37">
        <f>-2.8727*E2</f>
        <v>-2.8727000000000002E-3</v>
      </c>
      <c r="P32" s="37" t="s">
        <v>90</v>
      </c>
      <c r="Q32" s="37" t="s">
        <v>89</v>
      </c>
    </row>
    <row r="33" spans="1:17" s="41" customFormat="1" ht="16.2" customHeight="1">
      <c r="A33" s="7" t="s">
        <v>270</v>
      </c>
      <c r="B33" s="174">
        <f>EXP(F33)</f>
        <v>0.16135796451068454</v>
      </c>
      <c r="C33" s="41">
        <v>-7.5339999999999998</v>
      </c>
      <c r="D33" s="41">
        <f>D32*G33</f>
        <v>8.2952999999999992</v>
      </c>
      <c r="E33" s="41">
        <f>E32*H33</f>
        <v>-2.5854300000000001</v>
      </c>
      <c r="F33" s="41">
        <f>C33+D33+E33</f>
        <v>-1.8241300000000007</v>
      </c>
      <c r="G33" s="41">
        <v>30</v>
      </c>
      <c r="H33" s="41">
        <f>G33*G33</f>
        <v>900</v>
      </c>
      <c r="K33" s="32">
        <f>EXP(O33)</f>
        <v>0.92827245085632804</v>
      </c>
      <c r="L33">
        <f>L32</f>
        <v>-5.8650000000000002</v>
      </c>
      <c r="M33">
        <f>M32*P33</f>
        <v>8.3759999999999994</v>
      </c>
      <c r="N33">
        <f>N32*Q33</f>
        <v>-2.5854300000000001</v>
      </c>
      <c r="O33">
        <f>L33+M33+N33</f>
        <v>-7.4430000000000884E-2</v>
      </c>
      <c r="P33" s="41">
        <v>30</v>
      </c>
      <c r="Q33" s="41">
        <f>P33*P33</f>
        <v>900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D184-446D-4409-96ED-17EAAEE98D45}">
  <dimension ref="A1:K17"/>
  <sheetViews>
    <sheetView workbookViewId="0">
      <selection activeCell="C28" sqref="C28"/>
    </sheetView>
  </sheetViews>
  <sheetFormatPr defaultRowHeight="14.4"/>
  <cols>
    <col min="4" max="4" width="28.5546875" customWidth="1"/>
    <col min="5" max="5" width="19.44140625" bestFit="1" customWidth="1"/>
  </cols>
  <sheetData>
    <row r="1" spans="1:11">
      <c r="A1" s="16" t="s">
        <v>71</v>
      </c>
      <c r="B1" s="16" t="s">
        <v>144</v>
      </c>
      <c r="C1" s="16" t="s">
        <v>145</v>
      </c>
      <c r="D1" s="16" t="s">
        <v>146</v>
      </c>
      <c r="E1" s="16" t="s">
        <v>147</v>
      </c>
      <c r="F1" s="16" t="s">
        <v>72</v>
      </c>
      <c r="K1" s="16"/>
    </row>
    <row r="2" spans="1:11">
      <c r="A2" s="16">
        <v>2E-3</v>
      </c>
      <c r="B2" s="16">
        <v>44.31</v>
      </c>
      <c r="C2" s="16">
        <v>14.8</v>
      </c>
      <c r="D2" s="16">
        <f>14.8*70%</f>
        <v>10.36</v>
      </c>
      <c r="E2" s="28">
        <f>B2/D2</f>
        <v>4.2770270270270272</v>
      </c>
      <c r="F2" s="29">
        <f>E2/A2</f>
        <v>2138.5135135135138</v>
      </c>
      <c r="K2" s="16"/>
    </row>
    <row r="3" spans="1:11">
      <c r="A3" s="30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30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>
      <c r="A5" s="30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>
      <c r="A6" s="179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>
      <c r="A7" s="179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>
      <c r="A9" s="180"/>
      <c r="B9" s="16"/>
      <c r="C9" s="16"/>
      <c r="D9" s="16"/>
      <c r="E9" s="16"/>
      <c r="F9" s="16"/>
      <c r="G9" s="28"/>
      <c r="H9" s="16"/>
      <c r="I9" s="16"/>
      <c r="J9" s="16"/>
      <c r="K9" s="16"/>
    </row>
    <row r="10" spans="1:11">
      <c r="A10" s="30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>
      <c r="A11" s="30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>
      <c r="A12" s="30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>
      <c r="A13" s="30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>
      <c r="A14" s="30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30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30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>
      <c r="A17" s="30"/>
      <c r="B17" s="16"/>
      <c r="C17" s="16"/>
      <c r="D17" s="16"/>
      <c r="E17" s="16"/>
      <c r="F17" s="16"/>
      <c r="G17" s="16"/>
      <c r="H17" s="16"/>
      <c r="I17" s="16"/>
      <c r="J17" s="16"/>
      <c r="K17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95F2-07D9-41B3-928B-5BF3A824AEA9}">
  <dimension ref="A1:Q33"/>
  <sheetViews>
    <sheetView topLeftCell="A4" workbookViewId="0">
      <selection activeCell="C21" sqref="C21"/>
    </sheetView>
  </sheetViews>
  <sheetFormatPr defaultRowHeight="14.4"/>
  <cols>
    <col min="1" max="1" width="41.21875" style="43" bestFit="1" customWidth="1"/>
    <col min="2" max="2" width="9.109375" style="43" bestFit="1" customWidth="1"/>
    <col min="3" max="3" width="6.33203125" style="43" bestFit="1" customWidth="1"/>
    <col min="4" max="4" width="5.5546875" style="53" bestFit="1" customWidth="1"/>
    <col min="5" max="5" width="19.109375" style="43" bestFit="1" customWidth="1"/>
    <col min="6" max="6" width="12.5546875" style="43" customWidth="1"/>
    <col min="7" max="7" width="8.88671875" style="43"/>
    <col min="8" max="8" width="14.88671875" style="43" customWidth="1"/>
    <col min="9" max="9" width="8.88671875" style="43"/>
    <col min="10" max="10" width="11.5546875" style="43" customWidth="1"/>
    <col min="11" max="11" width="11.109375" style="43" bestFit="1" customWidth="1"/>
    <col min="12" max="16384" width="8.88671875" style="43"/>
  </cols>
  <sheetData>
    <row r="1" spans="1:17">
      <c r="A1" s="325" t="s">
        <v>107</v>
      </c>
      <c r="B1" s="327" t="s">
        <v>108</v>
      </c>
      <c r="C1" s="42" t="s">
        <v>109</v>
      </c>
      <c r="D1" s="325" t="s">
        <v>111</v>
      </c>
      <c r="E1" s="327" t="s">
        <v>112</v>
      </c>
      <c r="F1" s="59" t="s">
        <v>177</v>
      </c>
      <c r="G1" s="16" t="s">
        <v>71</v>
      </c>
      <c r="H1" s="16" t="s">
        <v>0</v>
      </c>
      <c r="I1" s="16" t="s">
        <v>68</v>
      </c>
      <c r="J1" s="16" t="s">
        <v>69</v>
      </c>
      <c r="K1" s="16" t="s">
        <v>70</v>
      </c>
      <c r="L1" s="16" t="s">
        <v>72</v>
      </c>
      <c r="M1" s="16"/>
    </row>
    <row r="2" spans="1:17" ht="15" thickBot="1">
      <c r="A2" s="326"/>
      <c r="B2" s="328"/>
      <c r="C2" s="44" t="s">
        <v>110</v>
      </c>
      <c r="D2" s="326"/>
      <c r="E2" s="328"/>
      <c r="G2" s="16">
        <v>2E-3</v>
      </c>
      <c r="H2" s="16">
        <v>44.31</v>
      </c>
      <c r="I2" s="16">
        <v>14.8</v>
      </c>
      <c r="J2" s="16">
        <f>14.8*70%</f>
        <v>10.36</v>
      </c>
      <c r="K2" s="28">
        <f>H2/J2</f>
        <v>4.2770270270270272</v>
      </c>
      <c r="L2" s="29">
        <f>K2/G2</f>
        <v>2138.5135135135138</v>
      </c>
      <c r="M2" s="16"/>
    </row>
    <row r="3" spans="1:17" ht="15" thickBot="1">
      <c r="A3" s="45" t="s">
        <v>102</v>
      </c>
      <c r="B3" s="44" t="s">
        <v>49</v>
      </c>
      <c r="C3" s="46"/>
      <c r="D3" s="44">
        <v>22.18</v>
      </c>
      <c r="E3" s="47" t="s">
        <v>113</v>
      </c>
      <c r="F3" s="43">
        <f>D3*70%</f>
        <v>15.525999999999998</v>
      </c>
      <c r="G3" s="16"/>
      <c r="H3" s="16"/>
      <c r="I3" s="16"/>
      <c r="J3" s="16"/>
      <c r="K3" s="16"/>
      <c r="L3" s="16"/>
    </row>
    <row r="4" spans="1:17" ht="15" thickBot="1">
      <c r="A4" s="45" t="s">
        <v>98</v>
      </c>
      <c r="B4" s="44">
        <v>30</v>
      </c>
      <c r="C4" s="44">
        <v>0.16139999999999999</v>
      </c>
      <c r="D4" s="44">
        <v>25.1</v>
      </c>
      <c r="E4" s="47" t="s">
        <v>114</v>
      </c>
      <c r="F4" s="43">
        <f>D4*70%</f>
        <v>17.57</v>
      </c>
      <c r="G4" s="16"/>
      <c r="H4"/>
      <c r="I4"/>
      <c r="J4"/>
      <c r="K4"/>
      <c r="L4"/>
      <c r="M4"/>
      <c r="N4"/>
      <c r="O4"/>
      <c r="P4"/>
      <c r="Q4"/>
    </row>
    <row r="5" spans="1:17" ht="23.4" thickBot="1">
      <c r="A5" s="45" t="s">
        <v>115</v>
      </c>
      <c r="B5" s="46"/>
      <c r="C5" s="44">
        <v>1.2E-2</v>
      </c>
      <c r="D5" s="44">
        <v>17.149999999999999</v>
      </c>
      <c r="E5" s="47" t="s">
        <v>116</v>
      </c>
      <c r="F5" s="43">
        <f>D5*70%</f>
        <v>12.004999999999999</v>
      </c>
      <c r="G5" s="16"/>
      <c r="H5"/>
      <c r="I5"/>
      <c r="J5"/>
      <c r="K5"/>
      <c r="L5"/>
      <c r="M5"/>
      <c r="N5"/>
      <c r="O5"/>
      <c r="P5"/>
      <c r="Q5"/>
    </row>
    <row r="6" spans="1:17" ht="15" thickBot="1">
      <c r="A6" s="45" t="s">
        <v>95</v>
      </c>
      <c r="B6" s="44" t="s">
        <v>117</v>
      </c>
      <c r="C6" s="44">
        <v>1.6000000000000001E-3</v>
      </c>
      <c r="D6" s="44">
        <v>23.73</v>
      </c>
      <c r="E6" s="47" t="s">
        <v>114</v>
      </c>
      <c r="F6" s="43">
        <f t="shared" ref="F6:F31" si="0">D6*70%</f>
        <v>16.611000000000001</v>
      </c>
      <c r="H6"/>
      <c r="I6"/>
      <c r="J6"/>
      <c r="K6"/>
      <c r="L6"/>
      <c r="M6"/>
      <c r="N6"/>
      <c r="O6"/>
      <c r="P6"/>
      <c r="Q6"/>
    </row>
    <row r="7" spans="1:17" ht="14.4" customHeight="1" thickBot="1">
      <c r="A7" s="45" t="s">
        <v>118</v>
      </c>
      <c r="B7" s="44" t="s">
        <v>119</v>
      </c>
      <c r="C7" s="44">
        <v>1.6000000000000001E-3</v>
      </c>
      <c r="D7" s="44">
        <v>20.65</v>
      </c>
      <c r="E7" s="47" t="s">
        <v>114</v>
      </c>
      <c r="F7" s="43">
        <f t="shared" si="0"/>
        <v>14.454999999999998</v>
      </c>
      <c r="G7" s="48"/>
      <c r="H7"/>
      <c r="I7"/>
      <c r="J7"/>
      <c r="K7"/>
      <c r="L7"/>
      <c r="M7"/>
      <c r="N7"/>
      <c r="O7"/>
      <c r="P7"/>
      <c r="Q7"/>
    </row>
    <row r="8" spans="1:17" ht="14.4" customHeight="1" thickBot="1">
      <c r="A8" s="50"/>
      <c r="B8" s="46"/>
      <c r="C8" s="46"/>
      <c r="D8" s="44">
        <v>23.01</v>
      </c>
      <c r="E8" s="47" t="s">
        <v>103</v>
      </c>
      <c r="F8" s="43">
        <f t="shared" si="0"/>
        <v>16.106999999999999</v>
      </c>
      <c r="G8" s="48"/>
      <c r="J8" s="49"/>
    </row>
    <row r="9" spans="1:17" ht="14.4" customHeight="1" thickBot="1">
      <c r="A9" s="50"/>
      <c r="B9" s="46"/>
      <c r="C9" s="46"/>
      <c r="D9" s="44">
        <v>26.82</v>
      </c>
      <c r="E9" s="47" t="s">
        <v>120</v>
      </c>
      <c r="F9" s="43">
        <f>D9*70%</f>
        <v>18.773999999999997</v>
      </c>
      <c r="G9" s="48">
        <f>AVERAGE(D7:D10)</f>
        <v>22.069999999999997</v>
      </c>
      <c r="H9" s="43">
        <f>G9*70%</f>
        <v>15.448999999999996</v>
      </c>
      <c r="J9" s="49"/>
    </row>
    <row r="10" spans="1:17" ht="34.799999999999997" thickBot="1">
      <c r="A10" s="45"/>
      <c r="B10" s="44"/>
      <c r="C10" s="44">
        <v>2E-3</v>
      </c>
      <c r="D10" s="44">
        <v>17.8</v>
      </c>
      <c r="E10" s="47" t="s">
        <v>121</v>
      </c>
      <c r="F10" s="43">
        <f t="shared" si="0"/>
        <v>12.459999999999999</v>
      </c>
    </row>
    <row r="11" spans="1:17" ht="15" thickBot="1">
      <c r="A11" s="45" t="s">
        <v>66</v>
      </c>
      <c r="B11" s="44" t="s">
        <v>122</v>
      </c>
      <c r="C11" s="44">
        <v>1E-4</v>
      </c>
      <c r="D11" s="44">
        <v>20.65</v>
      </c>
      <c r="E11" s="47" t="s">
        <v>114</v>
      </c>
      <c r="F11" s="43">
        <f t="shared" si="0"/>
        <v>14.454999999999998</v>
      </c>
    </row>
    <row r="12" spans="1:17" ht="15" thickBot="1">
      <c r="A12" s="45" t="s">
        <v>123</v>
      </c>
      <c r="B12" s="44" t="s">
        <v>124</v>
      </c>
      <c r="C12" s="44">
        <v>5.1000000000000004E-3</v>
      </c>
      <c r="D12" s="44">
        <v>20.399999999999999</v>
      </c>
      <c r="E12" s="47"/>
      <c r="F12" s="43">
        <f t="shared" si="0"/>
        <v>14.279999999999998</v>
      </c>
    </row>
    <row r="13" spans="1:17" ht="15" thickBot="1">
      <c r="A13" s="45" t="s">
        <v>125</v>
      </c>
      <c r="B13" s="44" t="s">
        <v>155</v>
      </c>
      <c r="C13" s="44">
        <v>3.0000000000000001E-3</v>
      </c>
      <c r="D13" s="44">
        <v>23.59</v>
      </c>
      <c r="E13" s="47" t="s">
        <v>114</v>
      </c>
      <c r="F13" s="43">
        <f t="shared" si="0"/>
        <v>16.512999999999998</v>
      </c>
    </row>
    <row r="14" spans="1:17" ht="15" thickBot="1">
      <c r="A14" s="45" t="s">
        <v>57</v>
      </c>
      <c r="B14" s="44" t="s">
        <v>126</v>
      </c>
      <c r="C14" s="44">
        <v>5.1000000000000004E-3</v>
      </c>
      <c r="D14" s="44">
        <v>23.59</v>
      </c>
      <c r="E14" s="47" t="s">
        <v>114</v>
      </c>
      <c r="F14" s="43">
        <f>D14*70%</f>
        <v>16.512999999999998</v>
      </c>
    </row>
    <row r="15" spans="1:17" ht="15" thickBot="1">
      <c r="A15" s="45" t="s">
        <v>96</v>
      </c>
      <c r="B15" s="44">
        <v>3.5</v>
      </c>
      <c r="C15" s="44">
        <v>1.1000000000000001E-3</v>
      </c>
      <c r="D15" s="44">
        <v>23.59</v>
      </c>
      <c r="E15" s="47" t="s">
        <v>114</v>
      </c>
      <c r="F15" s="43">
        <f t="shared" si="0"/>
        <v>16.512999999999998</v>
      </c>
    </row>
    <row r="16" spans="1:17" ht="15" thickBot="1">
      <c r="A16" s="45" t="s">
        <v>74</v>
      </c>
      <c r="B16" s="44" t="s">
        <v>127</v>
      </c>
      <c r="C16" s="44">
        <v>4.0000000000000002E-4</v>
      </c>
      <c r="D16" s="44">
        <v>23.59</v>
      </c>
      <c r="E16" s="47"/>
      <c r="F16" s="43">
        <f>D16*70%</f>
        <v>16.512999999999998</v>
      </c>
    </row>
    <row r="17" spans="1:7" ht="15" thickBot="1">
      <c r="A17" s="45" t="s">
        <v>23</v>
      </c>
      <c r="B17" s="44" t="s">
        <v>49</v>
      </c>
      <c r="C17" s="44" t="s">
        <v>49</v>
      </c>
      <c r="D17" s="44">
        <v>21.25</v>
      </c>
      <c r="E17" s="47" t="s">
        <v>128</v>
      </c>
      <c r="F17" s="43">
        <f t="shared" si="0"/>
        <v>14.874999999999998</v>
      </c>
    </row>
    <row r="18" spans="1:7" ht="15" thickBot="1">
      <c r="A18" s="50"/>
      <c r="B18" s="44" t="s">
        <v>49</v>
      </c>
      <c r="C18" s="44" t="s">
        <v>49</v>
      </c>
      <c r="D18" s="44">
        <v>23.2</v>
      </c>
      <c r="E18" s="47" t="s">
        <v>129</v>
      </c>
      <c r="F18" s="43">
        <f t="shared" si="0"/>
        <v>16.239999999999998</v>
      </c>
    </row>
    <row r="19" spans="1:7" ht="15" thickBot="1">
      <c r="A19" s="50"/>
      <c r="B19" s="44" t="s">
        <v>49</v>
      </c>
      <c r="C19" s="44" t="s">
        <v>49</v>
      </c>
      <c r="D19" s="44">
        <v>31.2</v>
      </c>
      <c r="E19" s="47" t="s">
        <v>130</v>
      </c>
      <c r="F19" s="43">
        <f t="shared" si="0"/>
        <v>21.84</v>
      </c>
    </row>
    <row r="20" spans="1:7" ht="23.4" thickBot="1">
      <c r="A20" s="45"/>
      <c r="B20" s="44" t="s">
        <v>49</v>
      </c>
      <c r="C20" s="44" t="s">
        <v>49</v>
      </c>
      <c r="D20" s="44">
        <v>27.2</v>
      </c>
      <c r="E20" s="47" t="s">
        <v>131</v>
      </c>
      <c r="F20" s="43">
        <f t="shared" si="0"/>
        <v>19.04</v>
      </c>
    </row>
    <row r="21" spans="1:7" s="120" customFormat="1" ht="15" thickBot="1">
      <c r="A21" s="117" t="s">
        <v>97</v>
      </c>
      <c r="B21" s="118" t="s">
        <v>176</v>
      </c>
      <c r="C21" s="117">
        <v>6.0491059604342312E-2</v>
      </c>
      <c r="D21" s="117">
        <v>25.22</v>
      </c>
      <c r="E21" s="119"/>
      <c r="F21" s="120">
        <f>D21*70%</f>
        <v>17.653999999999996</v>
      </c>
    </row>
    <row r="22" spans="1:7" s="120" customFormat="1" ht="15" thickBot="1">
      <c r="A22" s="117" t="s">
        <v>55</v>
      </c>
      <c r="B22" s="118">
        <v>12</v>
      </c>
      <c r="C22" s="117">
        <v>1.2999999999999999E-2</v>
      </c>
      <c r="D22" s="117">
        <v>25.22</v>
      </c>
      <c r="E22" s="119"/>
      <c r="F22" s="120">
        <f t="shared" si="0"/>
        <v>17.653999999999996</v>
      </c>
    </row>
    <row r="23" spans="1:7" s="120" customFormat="1" ht="15" thickBot="1">
      <c r="A23" s="117" t="s">
        <v>54</v>
      </c>
      <c r="B23" s="118">
        <v>12</v>
      </c>
      <c r="C23" s="117">
        <v>1.2999999999999999E-2</v>
      </c>
      <c r="D23" s="117">
        <v>25.22</v>
      </c>
      <c r="E23" s="119"/>
      <c r="F23" s="120">
        <f t="shared" si="0"/>
        <v>17.653999999999996</v>
      </c>
    </row>
    <row r="24" spans="1:7" s="120" customFormat="1" ht="15" thickBot="1">
      <c r="A24" s="117" t="s">
        <v>105</v>
      </c>
      <c r="B24" s="118" t="s">
        <v>132</v>
      </c>
      <c r="C24" s="117">
        <v>1.8499999999999999E-2</v>
      </c>
      <c r="D24" s="117">
        <v>25.22</v>
      </c>
      <c r="E24" s="119"/>
      <c r="F24" s="120">
        <f t="shared" si="0"/>
        <v>17.653999999999996</v>
      </c>
    </row>
    <row r="25" spans="1:7" s="120" customFormat="1" ht="15" thickBot="1">
      <c r="A25" s="117" t="s">
        <v>106</v>
      </c>
      <c r="B25" s="118" t="s">
        <v>133</v>
      </c>
      <c r="C25" s="117">
        <v>1.46E-2</v>
      </c>
      <c r="D25" s="117">
        <v>25.22</v>
      </c>
      <c r="E25" s="119"/>
      <c r="F25" s="120">
        <f t="shared" si="0"/>
        <v>17.653999999999996</v>
      </c>
    </row>
    <row r="26" spans="1:7" ht="23.4" thickBot="1">
      <c r="A26" s="45" t="s">
        <v>134</v>
      </c>
      <c r="B26" s="46"/>
      <c r="C26" s="46"/>
      <c r="D26" s="44">
        <v>17.14</v>
      </c>
      <c r="E26" s="47" t="s">
        <v>116</v>
      </c>
      <c r="F26" s="43">
        <f t="shared" si="0"/>
        <v>11.997999999999999</v>
      </c>
    </row>
    <row r="27" spans="1:7" ht="15" thickBot="1">
      <c r="A27" s="45" t="s">
        <v>100</v>
      </c>
      <c r="B27" s="44" t="s">
        <v>65</v>
      </c>
      <c r="C27" s="44">
        <v>4.7999999999999996E-3</v>
      </c>
      <c r="D27" s="44">
        <v>23.85</v>
      </c>
      <c r="E27" s="47" t="s">
        <v>135</v>
      </c>
      <c r="F27" s="43">
        <f t="shared" si="0"/>
        <v>16.695</v>
      </c>
    </row>
    <row r="28" spans="1:7" ht="15" thickBot="1">
      <c r="A28" s="45" t="s">
        <v>101</v>
      </c>
      <c r="B28" s="44" t="s">
        <v>165</v>
      </c>
      <c r="C28" s="44">
        <v>6.1600000000000002E-2</v>
      </c>
      <c r="D28" s="44">
        <v>23.85</v>
      </c>
      <c r="E28" s="47" t="s">
        <v>135</v>
      </c>
      <c r="F28" s="43">
        <f t="shared" si="0"/>
        <v>16.695</v>
      </c>
    </row>
    <row r="29" spans="1:7" ht="12" customHeight="1" thickBot="1">
      <c r="A29" s="45" t="s">
        <v>53</v>
      </c>
      <c r="B29" s="44">
        <v>15</v>
      </c>
      <c r="C29" s="44">
        <v>1.41</v>
      </c>
      <c r="D29" s="44">
        <v>20.92</v>
      </c>
      <c r="E29" s="47" t="s">
        <v>135</v>
      </c>
      <c r="F29" s="43">
        <f t="shared" si="0"/>
        <v>14.644</v>
      </c>
      <c r="G29" s="52"/>
    </row>
    <row r="30" spans="1:7" ht="15" thickBot="1">
      <c r="A30" s="45" t="s">
        <v>136</v>
      </c>
      <c r="B30" s="46"/>
      <c r="C30" s="44">
        <v>3.0000000000000001E-3</v>
      </c>
      <c r="D30" s="44">
        <v>23.81</v>
      </c>
      <c r="E30" s="47" t="s">
        <v>137</v>
      </c>
      <c r="F30" s="43">
        <f t="shared" si="0"/>
        <v>16.666999999999998</v>
      </c>
    </row>
    <row r="31" spans="1:7" ht="15" thickBot="1">
      <c r="A31" s="45"/>
      <c r="B31" s="46"/>
      <c r="C31" s="46"/>
      <c r="D31" s="44">
        <v>22.09</v>
      </c>
      <c r="E31" s="47" t="s">
        <v>114</v>
      </c>
      <c r="F31" s="43">
        <f t="shared" si="0"/>
        <v>15.462999999999999</v>
      </c>
    </row>
    <row r="33" spans="3:3">
      <c r="C33" s="43" t="s">
        <v>158</v>
      </c>
    </row>
  </sheetData>
  <mergeCells count="4">
    <mergeCell ref="A1:A2"/>
    <mergeCell ref="B1:B2"/>
    <mergeCell ref="D1:D2"/>
    <mergeCell ref="E1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6805-8F35-4C22-AF4C-169BB56E67C0}">
  <dimension ref="A1:Q67"/>
  <sheetViews>
    <sheetView topLeftCell="A17" workbookViewId="0">
      <selection activeCell="L32" sqref="L32:P33"/>
    </sheetView>
  </sheetViews>
  <sheetFormatPr defaultRowHeight="14.4"/>
  <cols>
    <col min="4" max="4" width="17.6640625" customWidth="1"/>
    <col min="6" max="6" width="17.88671875" customWidth="1"/>
    <col min="7" max="7" width="12.5546875" bestFit="1" customWidth="1"/>
    <col min="8" max="8" width="10.5546875" customWidth="1"/>
    <col min="9" max="9" width="11" bestFit="1" customWidth="1"/>
  </cols>
  <sheetData>
    <row r="1" spans="1:1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>
      <c r="A2" s="43"/>
      <c r="B2" s="95" t="s">
        <v>301</v>
      </c>
      <c r="C2" s="95"/>
      <c r="D2" s="95"/>
      <c r="E2" s="95"/>
      <c r="F2" s="43"/>
      <c r="G2" s="43"/>
      <c r="H2" s="43"/>
      <c r="I2" s="43"/>
      <c r="J2" s="43"/>
      <c r="K2" s="43"/>
    </row>
    <row r="3" spans="1:11" ht="28.8">
      <c r="A3" s="43"/>
      <c r="B3" s="95"/>
      <c r="C3" s="169" t="s">
        <v>266</v>
      </c>
      <c r="D3" s="95" t="s">
        <v>267</v>
      </c>
      <c r="E3" s="95"/>
      <c r="F3" s="43"/>
      <c r="G3" s="43"/>
      <c r="H3" s="43" t="s">
        <v>431</v>
      </c>
      <c r="I3" s="43"/>
      <c r="J3" s="43"/>
      <c r="K3" s="43"/>
    </row>
    <row r="4" spans="1:11">
      <c r="A4" s="43"/>
      <c r="B4" s="95"/>
      <c r="C4" s="170" t="s">
        <v>29</v>
      </c>
      <c r="D4" s="170"/>
      <c r="E4" s="95"/>
      <c r="F4" s="43"/>
      <c r="G4" s="43"/>
      <c r="H4" s="43">
        <v>6095000.6449429477</v>
      </c>
      <c r="I4" s="43" t="s">
        <v>418</v>
      </c>
      <c r="J4" s="43"/>
      <c r="K4" s="43"/>
    </row>
    <row r="5" spans="1:11">
      <c r="A5" s="43"/>
      <c r="B5" s="95" t="s">
        <v>149</v>
      </c>
      <c r="C5" s="171">
        <f>17*0.0605</f>
        <v>1.0285</v>
      </c>
      <c r="D5" s="171">
        <f>17*Scaling!K5</f>
        <v>2.7139207052529613</v>
      </c>
      <c r="E5" s="171"/>
      <c r="F5" s="156"/>
      <c r="G5" s="43"/>
      <c r="H5" s="43">
        <v>7713985.1912559476</v>
      </c>
      <c r="I5" s="43"/>
      <c r="J5" s="43"/>
      <c r="K5" s="43"/>
    </row>
    <row r="6" spans="1:11">
      <c r="A6" s="43"/>
      <c r="B6" s="95" t="s">
        <v>272</v>
      </c>
      <c r="C6" s="171">
        <f>276*'Final insect weight kjg '!C27</f>
        <v>1.3248</v>
      </c>
      <c r="D6" s="171">
        <f>276*Scaling!K22</f>
        <v>3.0228631637366901</v>
      </c>
      <c r="E6" s="171"/>
      <c r="F6" s="156"/>
      <c r="G6" s="43"/>
      <c r="H6" s="43"/>
      <c r="I6" s="43"/>
      <c r="J6" s="43"/>
      <c r="K6" s="43"/>
    </row>
    <row r="7" spans="1:11">
      <c r="A7" s="43"/>
      <c r="B7" s="95" t="s">
        <v>271</v>
      </c>
      <c r="C7" s="171">
        <f>3*'Final insect weight kjg '!C12</f>
        <v>1.5300000000000001E-2</v>
      </c>
      <c r="D7" s="175">
        <f>3*Scaling!K27</f>
        <v>0.29692328852624617</v>
      </c>
      <c r="E7" s="171"/>
      <c r="F7" s="156"/>
      <c r="G7" s="43"/>
      <c r="H7" s="43"/>
      <c r="I7" s="43"/>
      <c r="J7" s="43"/>
      <c r="K7" s="43"/>
    </row>
    <row r="8" spans="1:11">
      <c r="A8" s="43"/>
      <c r="B8" s="95" t="s">
        <v>269</v>
      </c>
      <c r="C8" s="171">
        <f>9*'Final insect weight kjg '!C14</f>
        <v>4.5900000000000003E-2</v>
      </c>
      <c r="D8" s="171">
        <f>9*Scaling!K18</f>
        <v>6.9951121321957799E-2</v>
      </c>
      <c r="E8" s="171"/>
      <c r="F8" s="156"/>
      <c r="G8" s="156"/>
      <c r="H8" s="43"/>
      <c r="I8" s="43"/>
      <c r="J8" s="43"/>
      <c r="K8" s="43"/>
    </row>
    <row r="9" spans="1:11">
      <c r="A9" s="51"/>
      <c r="B9" s="95" t="s">
        <v>268</v>
      </c>
      <c r="C9" s="171">
        <f>0.2*'Final insect weight kjg '!C4</f>
        <v>3.2279999999999996E-2</v>
      </c>
      <c r="D9" s="171">
        <f>0.2*0.8425</f>
        <v>0.16850000000000001</v>
      </c>
      <c r="E9" s="171"/>
      <c r="F9" s="156"/>
      <c r="G9" s="43"/>
      <c r="H9" s="43"/>
      <c r="I9" s="43"/>
      <c r="J9" s="43"/>
      <c r="K9" s="43"/>
    </row>
    <row r="10" spans="1:11">
      <c r="A10" s="43"/>
      <c r="B10" s="95"/>
      <c r="C10" s="176">
        <f>SUM(C5:C9)</f>
        <v>2.44678</v>
      </c>
      <c r="D10" s="176">
        <f>SUM(D5:D9)</f>
        <v>6.2721582788378543</v>
      </c>
      <c r="E10" s="172" t="s">
        <v>262</v>
      </c>
      <c r="F10" s="565"/>
      <c r="G10" s="43"/>
      <c r="H10" s="43"/>
      <c r="I10" s="43"/>
      <c r="J10" s="43"/>
      <c r="K10" s="43"/>
    </row>
    <row r="11" spans="1:11">
      <c r="A11" s="43"/>
      <c r="B11" s="95"/>
      <c r="C11" s="173">
        <f>C10/13.8</f>
        <v>0.17730289855072462</v>
      </c>
      <c r="D11" s="173">
        <f>D10/13.8</f>
        <v>0.45450422310419231</v>
      </c>
      <c r="E11" s="95"/>
      <c r="F11" s="156"/>
      <c r="G11" s="43"/>
      <c r="H11" s="43"/>
      <c r="I11" s="43"/>
      <c r="J11" s="43"/>
      <c r="K11" s="43"/>
    </row>
    <row r="12" spans="1:11">
      <c r="A12" s="120"/>
      <c r="B12" s="120" t="s">
        <v>302</v>
      </c>
      <c r="C12" s="120" t="s">
        <v>174</v>
      </c>
      <c r="D12" s="122" t="s">
        <v>175</v>
      </c>
      <c r="E12" s="120"/>
      <c r="F12" s="120"/>
      <c r="G12" s="120"/>
      <c r="H12" s="120"/>
      <c r="I12" s="120"/>
      <c r="J12" s="120"/>
      <c r="K12" s="120"/>
    </row>
    <row r="13" spans="1:11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>
      <c r="A14" s="121"/>
      <c r="B14" s="120"/>
      <c r="C14" s="120"/>
      <c r="D14" s="120"/>
      <c r="E14" s="120"/>
      <c r="F14" s="120"/>
      <c r="G14" s="120"/>
      <c r="H14" s="120"/>
      <c r="I14" s="120"/>
      <c r="J14" s="120"/>
      <c r="K14" s="120"/>
    </row>
    <row r="18" spans="4:16">
      <c r="F18">
        <f>C10*'bAT ENERGETIC CALCS (TABLES)'!Z133</f>
        <v>22943270.273897696</v>
      </c>
      <c r="G18">
        <f>F18*C10</f>
        <v>56137134.840767406</v>
      </c>
      <c r="H18" s="317">
        <f>G18/1000000</f>
        <v>56.137134840767409</v>
      </c>
    </row>
    <row r="19" spans="4:16">
      <c r="F19">
        <f>C10*'bAT ENERGETIC CALCS (TABLES)'!Z134</f>
        <v>29037576.440401886</v>
      </c>
      <c r="G19">
        <f>F19*C10</f>
        <v>71048561.282846525</v>
      </c>
      <c r="H19" s="317">
        <f>G19/1000000</f>
        <v>71.048561282846521</v>
      </c>
    </row>
    <row r="23" spans="4:16">
      <c r="F23" s="157"/>
      <c r="G23" s="157" t="s">
        <v>170</v>
      </c>
      <c r="H23" s="157"/>
      <c r="I23" s="157"/>
      <c r="J23" s="157"/>
      <c r="K23" s="157"/>
    </row>
    <row r="24" spans="4:16">
      <c r="F24" s="157"/>
      <c r="G24" s="157"/>
      <c r="H24" s="157"/>
      <c r="I24" s="157"/>
      <c r="J24" s="157"/>
      <c r="K24" s="157"/>
    </row>
    <row r="25" spans="4:16">
      <c r="F25" s="157" t="s">
        <v>261</v>
      </c>
      <c r="G25" s="157" t="s">
        <v>63</v>
      </c>
      <c r="H25" s="157" t="s">
        <v>24</v>
      </c>
      <c r="I25" s="157" t="s">
        <v>25</v>
      </c>
      <c r="J25" s="157" t="s">
        <v>26</v>
      </c>
      <c r="K25" s="157" t="s">
        <v>27</v>
      </c>
    </row>
    <row r="26" spans="4:16">
      <c r="F26" s="430">
        <f>'SM distance'!O14</f>
        <v>9376924.0691429954</v>
      </c>
      <c r="G26" s="445">
        <f>F26*40%*0.35</f>
        <v>1312769.3696800193</v>
      </c>
      <c r="H26" s="159">
        <f>F26*50%*0.35</f>
        <v>1640961.7121000241</v>
      </c>
      <c r="I26" s="159">
        <f>F26*1%*0.65</f>
        <v>60950.006449429471</v>
      </c>
      <c r="J26" s="159">
        <f>F26*1%*0.65</f>
        <v>60950.006449429471</v>
      </c>
      <c r="K26" s="159">
        <f>F26*8%*0.35</f>
        <v>262553.87393600383</v>
      </c>
    </row>
    <row r="27" spans="4:16">
      <c r="F27" s="430">
        <f>'SM distance'!O15</f>
        <v>11867669.52500915</v>
      </c>
      <c r="G27" s="159">
        <f>F27*40%*0.35</f>
        <v>1661473.7335012809</v>
      </c>
      <c r="H27" s="159">
        <f>F27*50%*0.35</f>
        <v>2076842.1668766011</v>
      </c>
      <c r="I27" s="159">
        <f>F27*1%*0.65</f>
        <v>77139.851912559476</v>
      </c>
      <c r="J27" s="159">
        <f>F27*1%*0.65</f>
        <v>77139.851912559476</v>
      </c>
      <c r="K27" s="159">
        <f>F27*8%*0.35</f>
        <v>332294.74670025613</v>
      </c>
    </row>
    <row r="28" spans="4:16">
      <c r="F28" s="158"/>
      <c r="G28" s="158"/>
      <c r="H28" s="158"/>
      <c r="I28" s="158"/>
      <c r="J28" s="158"/>
      <c r="K28" s="158"/>
    </row>
    <row r="29" spans="4:16">
      <c r="F29" s="158"/>
      <c r="G29" s="158" t="s">
        <v>169</v>
      </c>
      <c r="H29" s="158" t="s">
        <v>92</v>
      </c>
      <c r="I29" s="157" t="s">
        <v>25</v>
      </c>
      <c r="J29" s="157" t="s">
        <v>26</v>
      </c>
      <c r="K29" s="157" t="s">
        <v>27</v>
      </c>
    </row>
    <row r="30" spans="4:16" ht="15" thickBot="1">
      <c r="F30" s="158" t="s">
        <v>167</v>
      </c>
      <c r="G30" s="44">
        <f>Scaling!K5</f>
        <v>0.15964239442664477</v>
      </c>
      <c r="H30" s="44">
        <f>Scaling!K22</f>
        <v>1.0952402767161921E-2</v>
      </c>
      <c r="I30" s="158">
        <f>Scaling!K27</f>
        <v>9.8974429508748726E-2</v>
      </c>
      <c r="J30" s="158">
        <f>Scaling!K18</f>
        <v>7.7723468135508667E-3</v>
      </c>
      <c r="K30" s="158">
        <f>Scaling!K33</f>
        <v>0.92827245085632804</v>
      </c>
    </row>
    <row r="31" spans="4:16">
      <c r="F31" s="158">
        <v>1000000</v>
      </c>
      <c r="G31" s="158"/>
      <c r="H31" s="158"/>
      <c r="I31" s="158"/>
      <c r="J31" s="158"/>
      <c r="K31" s="158"/>
    </row>
    <row r="32" spans="4:16">
      <c r="D32" s="546" t="s">
        <v>527</v>
      </c>
      <c r="F32" s="158" t="s">
        <v>166</v>
      </c>
      <c r="G32" s="445">
        <f>G26*G30</f>
        <v>209573.64550567549</v>
      </c>
      <c r="H32" s="159">
        <f>H26*H30</f>
        <v>17972.473596411066</v>
      </c>
      <c r="I32" s="159">
        <f t="shared" ref="I32:K32" si="0">I26*I30</f>
        <v>6032.4921168868377</v>
      </c>
      <c r="J32" s="159">
        <f t="shared" si="0"/>
        <v>473.72458841312795</v>
      </c>
      <c r="K32" s="159">
        <f t="shared" si="0"/>
        <v>243721.52804039765</v>
      </c>
      <c r="L32" s="497">
        <f>G32/1000</f>
        <v>209.5736455056755</v>
      </c>
      <c r="M32" s="497">
        <f t="shared" ref="M32:P32" si="1">H32/1000</f>
        <v>17.972473596411067</v>
      </c>
      <c r="N32" s="497">
        <f t="shared" si="1"/>
        <v>6.0324921168868375</v>
      </c>
      <c r="O32" s="497">
        <f t="shared" si="1"/>
        <v>0.47372458841312792</v>
      </c>
      <c r="P32" s="497">
        <f t="shared" si="1"/>
        <v>243.72152804039766</v>
      </c>
    </row>
    <row r="33" spans="1:17">
      <c r="D33" s="566">
        <f>E33*0.65</f>
        <v>0.31055301150105974</v>
      </c>
      <c r="E33" s="555">
        <f>SUM(G33:K33)</f>
        <v>0.4777738638477842</v>
      </c>
      <c r="F33" s="158" t="s">
        <v>168</v>
      </c>
      <c r="G33" s="538">
        <f>G32/$F$31</f>
        <v>0.2095736455056755</v>
      </c>
      <c r="H33" s="538">
        <f>H32/$F$31</f>
        <v>1.7972473596411066E-2</v>
      </c>
      <c r="I33" s="538">
        <f t="shared" ref="I33:K33" si="2">I32/$F$31</f>
        <v>6.0324921168868374E-3</v>
      </c>
      <c r="J33" s="538">
        <f t="shared" si="2"/>
        <v>4.7372458841312792E-4</v>
      </c>
      <c r="K33" s="538">
        <f t="shared" si="2"/>
        <v>0.24372152804039765</v>
      </c>
      <c r="L33" s="607">
        <f>G34/1000</f>
        <v>265.24164509312158</v>
      </c>
      <c r="M33" s="607">
        <f t="shared" ref="M33:P33" si="3">H34/1000</f>
        <v>22.746411895457843</v>
      </c>
      <c r="N33" s="607">
        <f t="shared" si="3"/>
        <v>7.6348728354349333</v>
      </c>
      <c r="O33" s="607">
        <f t="shared" si="3"/>
        <v>0.59955768221036743</v>
      </c>
      <c r="P33" s="607">
        <f t="shared" si="3"/>
        <v>308.46005892612948</v>
      </c>
    </row>
    <row r="34" spans="1:17">
      <c r="D34" s="566"/>
      <c r="E34" s="33"/>
      <c r="F34" s="158" t="s">
        <v>166</v>
      </c>
      <c r="G34" s="159">
        <f>G27*G30</f>
        <v>265241.64509312157</v>
      </c>
      <c r="H34" s="159">
        <f t="shared" ref="H34:K34" si="4">H27*H30</f>
        <v>22746.411895457844</v>
      </c>
      <c r="I34" s="159">
        <f t="shared" si="4"/>
        <v>7634.8728354349332</v>
      </c>
      <c r="J34" s="159">
        <f t="shared" si="4"/>
        <v>599.55768221036737</v>
      </c>
      <c r="K34" s="159">
        <f t="shared" si="4"/>
        <v>308460.05892612948</v>
      </c>
    </row>
    <row r="35" spans="1:17">
      <c r="D35" s="566">
        <f>E35*0.65</f>
        <v>0.39304365518103024</v>
      </c>
      <c r="E35" s="555">
        <f>SUM(G35:K35)</f>
        <v>0.6046825464323542</v>
      </c>
      <c r="F35" s="158" t="s">
        <v>168</v>
      </c>
      <c r="G35" s="428">
        <f>G34/$F$31</f>
        <v>0.26524164509312159</v>
      </c>
      <c r="H35" s="428">
        <f>H34/$F$31</f>
        <v>2.2746411895457844E-2</v>
      </c>
      <c r="I35" s="428">
        <f>I34/$F$31</f>
        <v>7.6348728354349331E-3</v>
      </c>
      <c r="J35" s="428">
        <f>J34/$F$31</f>
        <v>5.9955768221036743E-4</v>
      </c>
      <c r="K35" s="428">
        <f>K34/$F$31</f>
        <v>0.30846005892612949</v>
      </c>
    </row>
    <row r="36" spans="1:17">
      <c r="D36" s="546"/>
      <c r="F36" s="158"/>
      <c r="G36" s="158"/>
      <c r="H36" s="158"/>
      <c r="I36" s="158"/>
      <c r="J36" s="158"/>
      <c r="K36" s="158"/>
    </row>
    <row r="37" spans="1:17">
      <c r="F37" s="158" t="s">
        <v>472</v>
      </c>
      <c r="G37" s="431" t="s">
        <v>324</v>
      </c>
      <c r="H37" s="158"/>
      <c r="I37" s="158"/>
      <c r="J37" s="158"/>
      <c r="K37" s="158"/>
      <c r="M37">
        <v>0.2095736455056755</v>
      </c>
      <c r="N37">
        <v>1.7972473596411066E-2</v>
      </c>
      <c r="O37">
        <v>6.0324921168868374E-3</v>
      </c>
      <c r="P37">
        <v>4.7372458841312792E-4</v>
      </c>
      <c r="Q37">
        <v>0.24372152804039765</v>
      </c>
    </row>
    <row r="38" spans="1:17">
      <c r="F38" s="158"/>
      <c r="H38" s="158"/>
      <c r="I38" s="158"/>
      <c r="J38" s="158"/>
      <c r="K38" s="158"/>
      <c r="M38">
        <v>0.26524164509312159</v>
      </c>
      <c r="N38">
        <v>2.2746411895457844E-2</v>
      </c>
      <c r="O38">
        <v>7.6348728354349331E-3</v>
      </c>
      <c r="P38">
        <v>5.9955768221036743E-4</v>
      </c>
      <c r="Q38">
        <v>0.30846005892612949</v>
      </c>
    </row>
    <row r="39" spans="1:17">
      <c r="C39" s="317">
        <f>D39*0.65</f>
        <v>49.688481840169565</v>
      </c>
      <c r="D39" s="317">
        <f>E33*160</f>
        <v>76.443818215645479</v>
      </c>
      <c r="E39" s="158" t="s">
        <v>171</v>
      </c>
      <c r="F39" s="158"/>
      <c r="G39" s="158"/>
      <c r="H39" s="158"/>
      <c r="I39" s="158"/>
      <c r="J39" s="158"/>
      <c r="K39" s="158"/>
    </row>
    <row r="40" spans="1:17">
      <c r="C40" s="317">
        <f>D40*0.65</f>
        <v>62.886984828964835</v>
      </c>
      <c r="D40" s="317">
        <f>E35*160</f>
        <v>96.749207429176664</v>
      </c>
      <c r="F40" s="256"/>
      <c r="G40" s="158"/>
      <c r="H40" s="158"/>
      <c r="I40" s="158"/>
      <c r="J40" s="158"/>
      <c r="K40" s="158"/>
    </row>
    <row r="41" spans="1:17">
      <c r="F41" s="312">
        <f>F40/F31</f>
        <v>0</v>
      </c>
    </row>
    <row r="42" spans="1:17" ht="15" thickBot="1">
      <c r="A42" s="158"/>
      <c r="B42" s="158"/>
      <c r="C42" s="158"/>
      <c r="D42" s="158"/>
      <c r="E42" s="158"/>
      <c r="F42" s="158"/>
    </row>
    <row r="43" spans="1:17" ht="24" thickTop="1" thickBot="1">
      <c r="A43" s="158"/>
      <c r="B43" s="531" t="s">
        <v>528</v>
      </c>
      <c r="C43" s="532" t="s">
        <v>529</v>
      </c>
      <c r="D43" s="531" t="s">
        <v>530</v>
      </c>
      <c r="E43" s="531" t="s">
        <v>538</v>
      </c>
      <c r="F43" s="531" t="s">
        <v>540</v>
      </c>
    </row>
    <row r="44" spans="1:17">
      <c r="A44" s="158"/>
      <c r="B44" s="533" t="s">
        <v>531</v>
      </c>
      <c r="C44" s="533">
        <v>1.03</v>
      </c>
      <c r="D44" s="533">
        <v>2.71</v>
      </c>
      <c r="E44" s="533" t="s">
        <v>541</v>
      </c>
      <c r="F44" s="533" t="s">
        <v>544</v>
      </c>
      <c r="G44" s="333">
        <v>0.21</v>
      </c>
      <c r="H44" s="333">
        <v>0.27</v>
      </c>
      <c r="I44" s="542">
        <v>1312769.3999999999</v>
      </c>
      <c r="J44" s="542">
        <v>1661473.7</v>
      </c>
      <c r="K44" s="333"/>
    </row>
    <row r="45" spans="1:17">
      <c r="A45" s="158"/>
      <c r="B45" s="533" t="s">
        <v>532</v>
      </c>
      <c r="C45" s="533">
        <v>1.32</v>
      </c>
      <c r="D45" s="533">
        <v>3.02</v>
      </c>
      <c r="E45" s="533" t="s">
        <v>542</v>
      </c>
      <c r="F45" s="533" t="s">
        <v>545</v>
      </c>
      <c r="G45" s="333">
        <v>0.02</v>
      </c>
      <c r="H45" s="333">
        <v>0.02</v>
      </c>
      <c r="I45" s="542">
        <v>1640961.7</v>
      </c>
      <c r="J45" s="542">
        <v>2076842.2</v>
      </c>
    </row>
    <row r="46" spans="1:17">
      <c r="A46" s="158"/>
      <c r="B46" s="533" t="s">
        <v>533</v>
      </c>
      <c r="C46" s="533">
        <v>0.02</v>
      </c>
      <c r="D46" s="533">
        <v>0.3</v>
      </c>
      <c r="E46" s="533" t="s">
        <v>543</v>
      </c>
      <c r="F46" s="533" t="s">
        <v>546</v>
      </c>
      <c r="G46" s="333">
        <v>0.01</v>
      </c>
      <c r="H46" s="333">
        <v>0.01</v>
      </c>
      <c r="I46" s="542">
        <v>60950</v>
      </c>
      <c r="J46" s="542">
        <v>77139.899999999994</v>
      </c>
      <c r="K46" s="158"/>
    </row>
    <row r="47" spans="1:17">
      <c r="A47" s="158"/>
      <c r="B47" s="533" t="s">
        <v>534</v>
      </c>
      <c r="C47" s="533">
        <v>0.05</v>
      </c>
      <c r="D47" s="533">
        <v>7.0000000000000007E-2</v>
      </c>
      <c r="E47" s="533" t="s">
        <v>543</v>
      </c>
      <c r="F47" s="533" t="s">
        <v>547</v>
      </c>
      <c r="G47" s="333">
        <v>0</v>
      </c>
      <c r="H47" s="333">
        <v>0</v>
      </c>
      <c r="I47" s="542">
        <v>60950</v>
      </c>
      <c r="J47" s="542">
        <v>77139.899999999994</v>
      </c>
      <c r="K47" s="158"/>
    </row>
    <row r="48" spans="1:17" ht="15" thickBot="1">
      <c r="A48" s="158"/>
      <c r="B48" s="534" t="s">
        <v>535</v>
      </c>
      <c r="C48" s="534">
        <v>0.03</v>
      </c>
      <c r="D48" s="534">
        <v>0.17</v>
      </c>
      <c r="E48" s="534" t="s">
        <v>539</v>
      </c>
      <c r="F48" s="534" t="s">
        <v>525</v>
      </c>
      <c r="G48" s="333">
        <v>0.24</v>
      </c>
      <c r="H48" s="333">
        <v>0.31</v>
      </c>
      <c r="I48" s="542">
        <v>262553.90000000002</v>
      </c>
      <c r="J48" s="542">
        <v>332294.7</v>
      </c>
      <c r="K48" s="158"/>
    </row>
    <row r="49" spans="1:11">
      <c r="A49" s="158"/>
      <c r="B49" s="533" t="s">
        <v>536</v>
      </c>
      <c r="C49" s="533">
        <v>2.4500000000000002</v>
      </c>
      <c r="D49" s="533">
        <v>6.27</v>
      </c>
      <c r="E49" s="533"/>
      <c r="F49" s="533" t="s">
        <v>548</v>
      </c>
      <c r="I49" s="159"/>
      <c r="J49" s="333"/>
      <c r="K49" s="158"/>
    </row>
    <row r="50" spans="1:11" ht="15" thickBot="1">
      <c r="A50" s="158"/>
      <c r="B50" s="535" t="s">
        <v>537</v>
      </c>
      <c r="C50" s="536">
        <v>0.18</v>
      </c>
      <c r="D50" s="536">
        <v>0.45</v>
      </c>
      <c r="E50" s="536"/>
      <c r="F50" s="540" t="s">
        <v>549</v>
      </c>
    </row>
    <row r="51" spans="1:11" ht="15" thickTop="1">
      <c r="C51" s="539"/>
      <c r="D51" s="539" t="str">
        <f>G44&amp;"-"&amp;H44</f>
        <v>0.21-0.27</v>
      </c>
      <c r="E51" s="539" t="str">
        <f>I44&amp;"-"&amp;J44</f>
        <v>1312769.4-1661473.7</v>
      </c>
      <c r="F51" s="539"/>
      <c r="G51" s="539"/>
      <c r="I51" s="541">
        <v>1312769.3999999999</v>
      </c>
      <c r="J51" s="541">
        <v>1661473.7</v>
      </c>
    </row>
    <row r="52" spans="1:11">
      <c r="C52" s="539"/>
      <c r="D52" s="539" t="str">
        <f>G45&amp;"-"&amp;H45</f>
        <v>0.02-0.02</v>
      </c>
      <c r="E52" s="539" t="str">
        <f>I45&amp;"-"&amp;J45</f>
        <v>1640961.7-2076842.2</v>
      </c>
      <c r="F52" s="539"/>
      <c r="G52" s="539"/>
      <c r="I52" s="541">
        <v>1640961.7</v>
      </c>
      <c r="J52" s="541">
        <v>2076842.2</v>
      </c>
    </row>
    <row r="53" spans="1:11">
      <c r="C53" s="539"/>
      <c r="D53" s="539" t="str">
        <f>G46&amp;"-"&amp;H46</f>
        <v>0.01-0.01</v>
      </c>
      <c r="E53" s="539" t="str">
        <f>I46&amp;"-"&amp;J46</f>
        <v>60950-77139.9</v>
      </c>
      <c r="F53" s="539"/>
      <c r="G53" s="539"/>
      <c r="I53" s="541">
        <v>60950</v>
      </c>
      <c r="J53" s="541">
        <v>77139.899999999994</v>
      </c>
    </row>
    <row r="54" spans="1:11">
      <c r="D54" s="539" t="str">
        <f>G47&amp;"-"&amp;H47</f>
        <v>0-0</v>
      </c>
      <c r="E54" s="539" t="str">
        <f>I47&amp;"-"&amp;J47</f>
        <v>60950-77139.9</v>
      </c>
      <c r="I54" s="541">
        <v>60950</v>
      </c>
      <c r="J54" s="541">
        <v>77139.899999999994</v>
      </c>
    </row>
    <row r="55" spans="1:11">
      <c r="D55" s="539" t="str">
        <f>G48&amp;"-"&amp;H48</f>
        <v>0.24-0.31</v>
      </c>
      <c r="E55" s="539" t="str">
        <f>I48&amp;"-"&amp;J48</f>
        <v>262553.9-332294.7</v>
      </c>
      <c r="I55" s="541">
        <v>262553.90000000002</v>
      </c>
      <c r="J55" s="541">
        <v>332294.7</v>
      </c>
    </row>
    <row r="56" spans="1:11">
      <c r="D56" s="539"/>
    </row>
    <row r="58" spans="1:11">
      <c r="B58" s="41"/>
      <c r="C58" s="41"/>
      <c r="D58" s="41"/>
      <c r="E58" s="41"/>
      <c r="F58" s="41"/>
      <c r="G58" s="41"/>
      <c r="H58" s="41"/>
    </row>
    <row r="59" spans="1:11">
      <c r="B59" s="41"/>
      <c r="C59" s="543"/>
      <c r="D59" s="543"/>
      <c r="E59" s="543"/>
      <c r="F59" s="543"/>
      <c r="G59" s="543"/>
      <c r="H59" s="41"/>
    </row>
    <row r="60" spans="1:11">
      <c r="B60" s="41"/>
      <c r="C60" s="543"/>
      <c r="D60" s="543"/>
      <c r="E60" s="543"/>
      <c r="F60" s="543"/>
      <c r="G60" s="543"/>
      <c r="H60" s="41"/>
    </row>
    <row r="61" spans="1:11">
      <c r="B61" s="41"/>
      <c r="C61" s="543"/>
      <c r="D61" s="543"/>
      <c r="E61" s="543"/>
      <c r="F61" s="543"/>
      <c r="G61" s="543"/>
      <c r="H61" s="41"/>
    </row>
    <row r="62" spans="1:11">
      <c r="B62" s="41"/>
      <c r="C62" s="543"/>
      <c r="D62" s="543"/>
      <c r="E62" s="543"/>
      <c r="F62" s="543"/>
      <c r="G62" s="543"/>
      <c r="H62" s="41"/>
    </row>
    <row r="63" spans="1:11">
      <c r="B63" s="41"/>
      <c r="C63" s="41"/>
      <c r="D63" s="41"/>
      <c r="E63" s="41"/>
      <c r="F63" s="41"/>
      <c r="G63" s="41"/>
      <c r="H63" s="41"/>
    </row>
    <row r="64" spans="1:11">
      <c r="B64" s="41"/>
      <c r="C64" s="41"/>
      <c r="D64" s="41"/>
      <c r="E64" s="41"/>
      <c r="F64" s="41"/>
      <c r="G64" s="41"/>
      <c r="H64" s="41"/>
    </row>
    <row r="65" spans="2:9">
      <c r="B65" s="41"/>
      <c r="C65" s="41"/>
      <c r="D65" s="41"/>
      <c r="E65" s="41"/>
      <c r="F65" s="41"/>
      <c r="G65" s="41"/>
      <c r="H65" s="41"/>
    </row>
    <row r="66" spans="2:9">
      <c r="E66" s="537"/>
      <c r="F66" s="537"/>
      <c r="G66" s="537"/>
      <c r="H66" s="537"/>
      <c r="I66" s="537"/>
    </row>
    <row r="67" spans="2:9">
      <c r="E67" s="537"/>
      <c r="F67" s="537"/>
      <c r="G67" s="537"/>
      <c r="H67" s="537"/>
      <c r="I67" s="537"/>
    </row>
  </sheetData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9C41-B5F6-4C47-AFF9-951C4942798E}">
  <dimension ref="A1:AC50"/>
  <sheetViews>
    <sheetView topLeftCell="A4" zoomScale="80" zoomScaleNormal="80" workbookViewId="0">
      <selection activeCell="G43" sqref="G43"/>
    </sheetView>
  </sheetViews>
  <sheetFormatPr defaultRowHeight="14.4"/>
  <cols>
    <col min="2" max="2" width="9" bestFit="1" customWidth="1"/>
    <col min="3" max="3" width="9.33203125" bestFit="1" customWidth="1"/>
    <col min="4" max="5" width="9" bestFit="1" customWidth="1"/>
    <col min="6" max="6" width="15.109375" customWidth="1"/>
    <col min="7" max="7" width="9.6640625" bestFit="1" customWidth="1"/>
    <col min="8" max="8" width="21.88671875" bestFit="1" customWidth="1"/>
    <col min="9" max="9" width="19.88671875" customWidth="1"/>
    <col min="10" max="10" width="9.5546875" bestFit="1" customWidth="1"/>
    <col min="11" max="11" width="15.6640625" customWidth="1"/>
    <col min="12" max="12" width="13.6640625" bestFit="1" customWidth="1"/>
    <col min="13" max="13" width="17.21875" customWidth="1"/>
    <col min="15" max="15" width="15.44140625" customWidth="1"/>
    <col min="16" max="16" width="13.5546875" bestFit="1" customWidth="1"/>
    <col min="17" max="17" width="18.21875" bestFit="1" customWidth="1"/>
    <col min="20" max="20" width="8.88671875" style="116"/>
    <col min="21" max="21" width="11.5546875" bestFit="1" customWidth="1"/>
  </cols>
  <sheetData>
    <row r="1" spans="1:29" ht="46.8">
      <c r="A1" s="298" t="s">
        <v>311</v>
      </c>
      <c r="B1" s="215" t="s">
        <v>207</v>
      </c>
      <c r="C1" s="215" t="s">
        <v>206</v>
      </c>
      <c r="D1" s="215"/>
      <c r="E1" s="215" t="s">
        <v>205</v>
      </c>
      <c r="F1" s="129"/>
      <c r="G1" s="298" t="s">
        <v>366</v>
      </c>
      <c r="H1" s="215" t="s">
        <v>206</v>
      </c>
      <c r="I1" s="215" t="s">
        <v>365</v>
      </c>
      <c r="J1" s="215" t="s">
        <v>205</v>
      </c>
      <c r="K1" s="128"/>
      <c r="L1" s="298" t="s">
        <v>360</v>
      </c>
      <c r="M1" s="215" t="s">
        <v>206</v>
      </c>
      <c r="N1" s="215"/>
      <c r="O1" s="215" t="s">
        <v>205</v>
      </c>
      <c r="Q1" s="298" t="s">
        <v>378</v>
      </c>
      <c r="R1" s="215" t="s">
        <v>206</v>
      </c>
      <c r="S1" s="215" t="s">
        <v>365</v>
      </c>
      <c r="T1" s="217" t="s">
        <v>205</v>
      </c>
    </row>
    <row r="2" spans="1:29" ht="15.6">
      <c r="A2" s="215" t="s">
        <v>199</v>
      </c>
      <c r="B2" s="216" t="s">
        <v>210</v>
      </c>
      <c r="C2" s="217">
        <v>804.5</v>
      </c>
      <c r="D2" s="217">
        <f>C2*34%</f>
        <v>273.53000000000003</v>
      </c>
      <c r="E2" s="217">
        <f>C2-D2</f>
        <v>530.97</v>
      </c>
      <c r="F2" s="130"/>
      <c r="G2" s="217" t="s">
        <v>199</v>
      </c>
      <c r="H2" s="217">
        <f>C2/1.95</f>
        <v>412.5641025641026</v>
      </c>
      <c r="I2" s="303">
        <f>H2*99%</f>
        <v>408.43846153846158</v>
      </c>
      <c r="J2" s="217">
        <f t="shared" ref="J2:J8" si="0">H2-I2</f>
        <v>4.1256410256410163</v>
      </c>
      <c r="K2" s="128"/>
      <c r="L2" s="217" t="s">
        <v>199</v>
      </c>
      <c r="M2" s="217">
        <f xml:space="preserve"> C2/1.99</f>
        <v>404.2713567839196</v>
      </c>
      <c r="N2" s="303">
        <f>M2*99%</f>
        <v>400.2286432160804</v>
      </c>
      <c r="O2" s="306">
        <f t="shared" ref="O2:O7" si="1">M2-N2</f>
        <v>4.0427135678392006</v>
      </c>
      <c r="Q2" s="217" t="s">
        <v>199</v>
      </c>
      <c r="R2" s="303">
        <v>805</v>
      </c>
      <c r="S2" s="303">
        <f>R2*34%</f>
        <v>273.70000000000005</v>
      </c>
      <c r="T2" s="217">
        <f t="shared" ref="T2:T8" si="2">R2-S2</f>
        <v>531.29999999999995</v>
      </c>
      <c r="X2" t="s">
        <v>317</v>
      </c>
    </row>
    <row r="3" spans="1:29" ht="15.6">
      <c r="A3" s="215" t="s">
        <v>198</v>
      </c>
      <c r="B3" s="216" t="s">
        <v>211</v>
      </c>
      <c r="C3" s="217">
        <f t="shared" ref="C3:C8" si="3">E2</f>
        <v>530.97</v>
      </c>
      <c r="D3" s="217">
        <f>C3*26%</f>
        <v>138.0522</v>
      </c>
      <c r="E3" s="217">
        <f t="shared" ref="E3:E8" si="4">C3-D3</f>
        <v>392.91780000000006</v>
      </c>
      <c r="F3" s="131">
        <f>740*95</f>
        <v>70300</v>
      </c>
      <c r="G3" s="217" t="s">
        <v>198</v>
      </c>
      <c r="H3" s="217">
        <f t="shared" ref="H3:H8" si="5">J2</f>
        <v>4.1256410256410163</v>
      </c>
      <c r="I3" s="303">
        <f>H3*26%</f>
        <v>1.0726666666666642</v>
      </c>
      <c r="J3" s="217">
        <f t="shared" si="0"/>
        <v>3.0529743589743523</v>
      </c>
      <c r="K3" s="304">
        <f>413+(413*95)%</f>
        <v>805.35</v>
      </c>
      <c r="L3" s="217" t="s">
        <v>198</v>
      </c>
      <c r="M3" s="297">
        <f>O2</f>
        <v>4.0427135678392006</v>
      </c>
      <c r="N3" s="303">
        <f>M3*26%</f>
        <v>1.0511055276381922</v>
      </c>
      <c r="O3" s="306">
        <f t="shared" si="1"/>
        <v>2.9916080402010081</v>
      </c>
      <c r="Q3" s="217" t="s">
        <v>198</v>
      </c>
      <c r="R3" s="303">
        <f t="shared" ref="R3:R8" si="6">T2</f>
        <v>531.29999999999995</v>
      </c>
      <c r="S3" s="303">
        <f>R3*99%</f>
        <v>525.98699999999997</v>
      </c>
      <c r="T3" s="217">
        <f t="shared" si="2"/>
        <v>5.3129999999999882</v>
      </c>
      <c r="U3" s="226">
        <f>5/805</f>
        <v>6.2111801242236021E-3</v>
      </c>
      <c r="V3" t="s">
        <v>319</v>
      </c>
      <c r="W3" t="s">
        <v>318</v>
      </c>
      <c r="X3" t="s">
        <v>312</v>
      </c>
      <c r="Y3" t="s">
        <v>313</v>
      </c>
      <c r="Z3" t="s">
        <v>314</v>
      </c>
      <c r="AA3" t="s">
        <v>315</v>
      </c>
      <c r="AB3" t="s">
        <v>316</v>
      </c>
    </row>
    <row r="4" spans="1:29" ht="15.6">
      <c r="A4" s="215" t="s">
        <v>200</v>
      </c>
      <c r="B4" s="216" t="s">
        <v>212</v>
      </c>
      <c r="C4" s="217">
        <f t="shared" si="3"/>
        <v>392.91780000000006</v>
      </c>
      <c r="D4" s="217">
        <f>C4*15%</f>
        <v>58.937670000000004</v>
      </c>
      <c r="E4" s="217">
        <f t="shared" si="4"/>
        <v>333.98013000000003</v>
      </c>
      <c r="F4" s="131"/>
      <c r="G4" s="217" t="s">
        <v>200</v>
      </c>
      <c r="H4" s="217">
        <f t="shared" si="5"/>
        <v>3.0529743589743523</v>
      </c>
      <c r="I4" s="303">
        <f>H4*15%</f>
        <v>0.45794615384615284</v>
      </c>
      <c r="J4" s="217">
        <f t="shared" si="0"/>
        <v>2.5950282051281994</v>
      </c>
      <c r="K4" s="304"/>
      <c r="L4" s="217" t="s">
        <v>200</v>
      </c>
      <c r="M4" s="297">
        <f t="shared" ref="M4:M8" si="7">O3</f>
        <v>2.9916080402010081</v>
      </c>
      <c r="N4" s="303">
        <f>M4*15%</f>
        <v>0.44874120603015122</v>
      </c>
      <c r="O4" s="306">
        <f t="shared" si="1"/>
        <v>2.5428668341708569</v>
      </c>
      <c r="Q4" s="217" t="s">
        <v>200</v>
      </c>
      <c r="R4" s="303">
        <f t="shared" si="6"/>
        <v>5.3129999999999882</v>
      </c>
      <c r="S4" s="303">
        <f>R4*15%</f>
        <v>0.79694999999999816</v>
      </c>
      <c r="T4" s="217">
        <f>R4-S4</f>
        <v>4.5160499999999901</v>
      </c>
      <c r="V4">
        <v>20</v>
      </c>
      <c r="W4">
        <v>553</v>
      </c>
      <c r="X4" s="220">
        <v>30.3</v>
      </c>
      <c r="Y4" s="220">
        <v>32.9</v>
      </c>
      <c r="Z4" s="220">
        <v>34</v>
      </c>
      <c r="AA4" s="220">
        <v>32.9</v>
      </c>
      <c r="AB4" s="220">
        <v>30.7</v>
      </c>
    </row>
    <row r="5" spans="1:29" ht="15.6">
      <c r="A5" s="215" t="s">
        <v>201</v>
      </c>
      <c r="B5" s="216" t="s">
        <v>213</v>
      </c>
      <c r="C5" s="217">
        <f t="shared" si="3"/>
        <v>333.98013000000003</v>
      </c>
      <c r="D5" s="217">
        <f>C5*27%</f>
        <v>90.174635100000017</v>
      </c>
      <c r="E5" s="217">
        <f>C5-D5</f>
        <v>243.80549490000001</v>
      </c>
      <c r="F5" s="131"/>
      <c r="G5" s="217" t="s">
        <v>201</v>
      </c>
      <c r="H5" s="217">
        <f t="shared" si="5"/>
        <v>2.5950282051281994</v>
      </c>
      <c r="I5" s="303">
        <f>H5*27%</f>
        <v>0.70065761538461391</v>
      </c>
      <c r="J5" s="217">
        <f t="shared" si="0"/>
        <v>1.8943705897435854</v>
      </c>
      <c r="K5" s="304"/>
      <c r="L5" s="217" t="s">
        <v>201</v>
      </c>
      <c r="M5" s="297">
        <f t="shared" si="7"/>
        <v>2.5428668341708569</v>
      </c>
      <c r="N5" s="303">
        <f>M5*27%</f>
        <v>0.68657404522613141</v>
      </c>
      <c r="O5" s="306">
        <f t="shared" si="1"/>
        <v>1.8562927889447254</v>
      </c>
      <c r="Q5" s="217" t="s">
        <v>201</v>
      </c>
      <c r="R5" s="303">
        <f t="shared" si="6"/>
        <v>4.5160499999999901</v>
      </c>
      <c r="S5" s="303">
        <f>R5*27%</f>
        <v>1.2193334999999974</v>
      </c>
      <c r="T5" s="217">
        <f t="shared" si="2"/>
        <v>3.2967164999999925</v>
      </c>
      <c r="V5">
        <v>25</v>
      </c>
      <c r="W5">
        <v>973</v>
      </c>
      <c r="X5" s="220">
        <v>14.2</v>
      </c>
      <c r="Y5" s="220">
        <v>16.8</v>
      </c>
      <c r="Z5" s="220">
        <v>18.399999999999999</v>
      </c>
      <c r="AA5" s="220">
        <v>18.100000000000001</v>
      </c>
      <c r="AB5" s="220">
        <v>15.8</v>
      </c>
    </row>
    <row r="6" spans="1:29" ht="15.6">
      <c r="A6" s="215" t="s">
        <v>202</v>
      </c>
      <c r="B6" s="216" t="s">
        <v>214</v>
      </c>
      <c r="C6" s="217">
        <f t="shared" si="3"/>
        <v>243.80549490000001</v>
      </c>
      <c r="D6" s="217">
        <f>C6*40.5%</f>
        <v>98.741225434500009</v>
      </c>
      <c r="E6" s="217">
        <f t="shared" si="4"/>
        <v>145.06426946549999</v>
      </c>
      <c r="F6" s="131"/>
      <c r="G6" s="217" t="s">
        <v>202</v>
      </c>
      <c r="H6" s="217">
        <f t="shared" si="5"/>
        <v>1.8943705897435854</v>
      </c>
      <c r="I6" s="303">
        <f>H6*40.5%</f>
        <v>0.76722008884615212</v>
      </c>
      <c r="J6" s="217">
        <f t="shared" si="0"/>
        <v>1.1271505008974332</v>
      </c>
      <c r="K6" s="304"/>
      <c r="L6" s="217" t="s">
        <v>202</v>
      </c>
      <c r="M6" s="297">
        <f t="shared" si="7"/>
        <v>1.8562927889447254</v>
      </c>
      <c r="N6" s="303">
        <f>M6*40.5%</f>
        <v>0.75179857952261386</v>
      </c>
      <c r="O6" s="306">
        <f t="shared" si="1"/>
        <v>1.1044942094221115</v>
      </c>
      <c r="Q6" s="217" t="s">
        <v>202</v>
      </c>
      <c r="R6" s="303">
        <f t="shared" si="6"/>
        <v>3.2967164999999925</v>
      </c>
      <c r="S6" s="303">
        <f>R6*40.5%</f>
        <v>1.3351701824999971</v>
      </c>
      <c r="T6" s="217">
        <f t="shared" si="2"/>
        <v>1.9615463174999954</v>
      </c>
      <c r="V6">
        <v>30</v>
      </c>
      <c r="W6">
        <v>636</v>
      </c>
    </row>
    <row r="7" spans="1:29" ht="15.6">
      <c r="A7" s="215" t="s">
        <v>203</v>
      </c>
      <c r="B7" s="216" t="s">
        <v>214</v>
      </c>
      <c r="C7" s="217">
        <f t="shared" si="3"/>
        <v>145.06426946549999</v>
      </c>
      <c r="D7" s="217">
        <f>C7*40.5%</f>
        <v>58.751029133527503</v>
      </c>
      <c r="E7" s="217">
        <f t="shared" si="4"/>
        <v>86.31324033197248</v>
      </c>
      <c r="F7" s="131"/>
      <c r="G7" s="217" t="s">
        <v>203</v>
      </c>
      <c r="H7" s="217">
        <f t="shared" si="5"/>
        <v>1.1271505008974332</v>
      </c>
      <c r="I7" s="303">
        <f>H7*40.5%</f>
        <v>0.45649595286346045</v>
      </c>
      <c r="J7" s="217">
        <f t="shared" si="0"/>
        <v>0.67065454803397273</v>
      </c>
      <c r="K7" s="304"/>
      <c r="L7" s="217" t="s">
        <v>203</v>
      </c>
      <c r="M7" s="297">
        <f t="shared" si="7"/>
        <v>1.1044942094221115</v>
      </c>
      <c r="N7" s="303">
        <f>M7*40.5%</f>
        <v>0.44732015481595522</v>
      </c>
      <c r="O7" s="306">
        <f t="shared" si="1"/>
        <v>0.6571740546061563</v>
      </c>
      <c r="Q7" s="217" t="s">
        <v>203</v>
      </c>
      <c r="R7" s="303">
        <f t="shared" si="6"/>
        <v>1.9615463174999954</v>
      </c>
      <c r="S7" s="303">
        <f>R7*40.5%</f>
        <v>0.79442625858749816</v>
      </c>
      <c r="T7" s="217">
        <f t="shared" si="2"/>
        <v>1.1671200589124973</v>
      </c>
      <c r="W7">
        <f>AVERAGE(W5:W6)</f>
        <v>804.5</v>
      </c>
      <c r="X7">
        <f>AVERAGE(X4:X5)</f>
        <v>22.25</v>
      </c>
      <c r="Y7">
        <f>AVERAGE(Y4:Y5)</f>
        <v>24.85</v>
      </c>
      <c r="Z7">
        <f>AVERAGE(Z4:Z5)</f>
        <v>26.2</v>
      </c>
      <c r="AA7">
        <f>AVERAGE(AA4:AA5)</f>
        <v>25.5</v>
      </c>
      <c r="AB7">
        <f>AVERAGE(AB4:AB5)</f>
        <v>23.25</v>
      </c>
      <c r="AC7">
        <f>AVERAGE(X7:AB7)</f>
        <v>24.41</v>
      </c>
    </row>
    <row r="8" spans="1:29" ht="15.6">
      <c r="A8" s="215" t="s">
        <v>204</v>
      </c>
      <c r="B8" s="216" t="s">
        <v>214</v>
      </c>
      <c r="C8" s="217">
        <f t="shared" si="3"/>
        <v>86.31324033197248</v>
      </c>
      <c r="D8" s="217">
        <f t="shared" ref="D8" si="8">C8*40.5%</f>
        <v>34.956862334448857</v>
      </c>
      <c r="E8" s="217">
        <f t="shared" si="4"/>
        <v>51.356377997523623</v>
      </c>
      <c r="F8" s="131"/>
      <c r="G8" s="217" t="s">
        <v>204</v>
      </c>
      <c r="H8" s="217">
        <f t="shared" si="5"/>
        <v>0.67065454803397273</v>
      </c>
      <c r="I8" s="303">
        <f t="shared" ref="I8" si="9">H8*40.5%</f>
        <v>0.27161509195375899</v>
      </c>
      <c r="J8" s="303">
        <f t="shared" si="0"/>
        <v>0.39903945608021374</v>
      </c>
      <c r="K8" s="304"/>
      <c r="L8" s="217" t="s">
        <v>204</v>
      </c>
      <c r="M8" s="297">
        <f t="shared" si="7"/>
        <v>0.6571740546061563</v>
      </c>
      <c r="N8" s="303">
        <f t="shared" ref="N8" si="10">M8*40.5%</f>
        <v>0.26615549211549333</v>
      </c>
      <c r="O8" s="307">
        <f>M8-N8</f>
        <v>0.39101856249066297</v>
      </c>
      <c r="P8" s="116"/>
      <c r="Q8" s="217" t="s">
        <v>204</v>
      </c>
      <c r="R8" s="303">
        <f t="shared" si="6"/>
        <v>1.1671200589124973</v>
      </c>
      <c r="S8" s="303">
        <f t="shared" ref="S8" si="11">R8*40.5%</f>
        <v>0.47268362385956142</v>
      </c>
      <c r="T8" s="217">
        <f t="shared" si="2"/>
        <v>0.69443643505293584</v>
      </c>
    </row>
    <row r="9" spans="1:29" ht="15.6">
      <c r="A9" s="128"/>
      <c r="B9" s="128"/>
      <c r="G9" s="128"/>
      <c r="H9" s="128"/>
      <c r="I9" s="221" t="s">
        <v>208</v>
      </c>
      <c r="J9" s="309">
        <f>J5/H2</f>
        <v>4.5916999999999894E-3</v>
      </c>
      <c r="K9" s="304"/>
      <c r="M9" s="128"/>
      <c r="N9" s="221" t="s">
        <v>208</v>
      </c>
      <c r="O9" s="223">
        <f>O5/M2</f>
        <v>4.5917000000000041E-3</v>
      </c>
      <c r="X9" s="220">
        <v>31.1</v>
      </c>
      <c r="Y9" s="220">
        <v>33</v>
      </c>
      <c r="Z9" s="220">
        <v>34.9</v>
      </c>
      <c r="AA9" s="220">
        <v>33.799999999999997</v>
      </c>
      <c r="AB9" s="220">
        <v>31.1</v>
      </c>
      <c r="AC9" s="220">
        <f>AVERAGE(Y9:AA9)</f>
        <v>33.9</v>
      </c>
    </row>
    <row r="10" spans="1:29" ht="15.6">
      <c r="A10" s="221"/>
      <c r="B10" s="221"/>
      <c r="C10" s="221" t="s">
        <v>208</v>
      </c>
      <c r="D10" s="222"/>
      <c r="E10" s="223">
        <f>E5/C2</f>
        <v>0.30305219999999999</v>
      </c>
      <c r="F10" s="221">
        <f>C2*0.95</f>
        <v>764.27499999999998</v>
      </c>
      <c r="G10" s="221">
        <f>H2/C2</f>
        <v>0.51282051282051289</v>
      </c>
      <c r="H10" s="221"/>
      <c r="I10" s="224" t="s">
        <v>209</v>
      </c>
      <c r="J10" s="308">
        <f>J8/H2</f>
        <v>9.6721807253749743E-4</v>
      </c>
      <c r="K10" s="128"/>
      <c r="M10" s="128"/>
      <c r="N10" s="224" t="s">
        <v>209</v>
      </c>
      <c r="O10" s="299">
        <f>O8/M2</f>
        <v>9.6721807253750069E-4</v>
      </c>
      <c r="P10" s="301"/>
      <c r="X10" s="220">
        <v>16.2</v>
      </c>
      <c r="Y10" s="220">
        <v>18.5</v>
      </c>
      <c r="Z10" s="220">
        <v>20.5</v>
      </c>
      <c r="AA10" s="220">
        <v>19.600000000000001</v>
      </c>
      <c r="AB10" s="220">
        <v>16.8</v>
      </c>
      <c r="AC10" s="220">
        <f>AVERAGE(Y10:AA10)</f>
        <v>19.533333333333335</v>
      </c>
    </row>
    <row r="11" spans="1:29">
      <c r="A11" s="224"/>
      <c r="B11" s="224"/>
      <c r="C11" s="224" t="s">
        <v>209</v>
      </c>
      <c r="D11" s="224"/>
      <c r="E11" s="227">
        <f>E8/C2</f>
        <v>6.383639278747498E-2</v>
      </c>
      <c r="F11" s="224"/>
      <c r="G11" s="224"/>
      <c r="H11" s="224"/>
      <c r="K11" s="300"/>
      <c r="L11" s="33"/>
    </row>
    <row r="12" spans="1:29" ht="15" thickBot="1">
      <c r="F12" s="33"/>
      <c r="G12" s="180"/>
      <c r="X12">
        <f>AVERAGE(X9:X10)</f>
        <v>23.65</v>
      </c>
      <c r="Y12">
        <f>AVERAGE(Y9:Y10)</f>
        <v>25.75</v>
      </c>
      <c r="Z12">
        <f>AVERAGE(Z9:Z10)</f>
        <v>27.7</v>
      </c>
      <c r="AA12">
        <f>AVERAGE(AA9:AA10)</f>
        <v>26.7</v>
      </c>
      <c r="AB12">
        <f>AVERAGE(AB9:AB10)</f>
        <v>23.950000000000003</v>
      </c>
      <c r="AC12">
        <f>AVERAGE(X12:AB12)</f>
        <v>25.55</v>
      </c>
    </row>
    <row r="13" spans="1:29">
      <c r="D13" s="226">
        <f>413/805</f>
        <v>0.5130434782608696</v>
      </c>
      <c r="G13" s="270" t="s">
        <v>353</v>
      </c>
      <c r="H13" s="271"/>
      <c r="I13" s="271" t="s">
        <v>339</v>
      </c>
      <c r="J13" s="271"/>
      <c r="K13" s="272"/>
      <c r="N13" s="280" t="s">
        <v>321</v>
      </c>
      <c r="O13" s="271"/>
      <c r="P13" s="271" t="s">
        <v>339</v>
      </c>
      <c r="Q13" s="271"/>
      <c r="R13" s="272"/>
    </row>
    <row r="14" spans="1:29">
      <c r="G14" s="273"/>
      <c r="H14" s="94"/>
      <c r="I14" s="94">
        <f>I15*40%</f>
        <v>1.8</v>
      </c>
      <c r="J14" s="94" t="s">
        <v>326</v>
      </c>
      <c r="K14" s="274"/>
      <c r="N14" s="273"/>
      <c r="O14" s="94"/>
      <c r="P14" s="94">
        <f>P15*40%</f>
        <v>1.8</v>
      </c>
      <c r="Q14" s="94" t="s">
        <v>326</v>
      </c>
      <c r="R14" s="274"/>
    </row>
    <row r="15" spans="1:29">
      <c r="G15" s="273"/>
      <c r="H15" s="94"/>
      <c r="I15" s="222">
        <v>4.5</v>
      </c>
      <c r="J15" s="222" t="s">
        <v>333</v>
      </c>
      <c r="K15" s="274"/>
      <c r="N15" s="273"/>
      <c r="O15" s="94"/>
      <c r="P15" s="222">
        <v>4.5</v>
      </c>
      <c r="Q15" s="222" t="s">
        <v>325</v>
      </c>
      <c r="R15" s="274"/>
    </row>
    <row r="16" spans="1:29">
      <c r="A16" s="94"/>
      <c r="B16" s="94" t="s">
        <v>323</v>
      </c>
      <c r="C16" s="94"/>
      <c r="D16" s="94"/>
      <c r="E16" s="94"/>
      <c r="G16" s="273"/>
      <c r="H16" s="94"/>
      <c r="I16" s="94">
        <v>11.5</v>
      </c>
      <c r="J16" s="94" t="s">
        <v>253</v>
      </c>
      <c r="K16" s="274"/>
      <c r="N16" s="273"/>
      <c r="O16" s="94"/>
      <c r="P16" s="94">
        <v>4</v>
      </c>
      <c r="Q16" s="94" t="s">
        <v>253</v>
      </c>
      <c r="R16" s="274"/>
      <c r="S16" s="177" t="s">
        <v>359</v>
      </c>
    </row>
    <row r="17" spans="1:19" ht="15.6">
      <c r="A17" s="218" t="s">
        <v>199</v>
      </c>
      <c r="B17" s="219"/>
      <c r="C17" s="219">
        <f>2*H2</f>
        <v>825.1282051282052</v>
      </c>
      <c r="D17" s="217">
        <f>C17*99%</f>
        <v>816.87692307692316</v>
      </c>
      <c r="E17" s="219">
        <f t="shared" ref="E17:E23" si="12">C17-D17</f>
        <v>8.2512820512820326</v>
      </c>
      <c r="G17" s="273"/>
      <c r="H17" s="94"/>
      <c r="I17" s="94">
        <v>511</v>
      </c>
      <c r="J17" s="94" t="s">
        <v>222</v>
      </c>
      <c r="K17" s="274"/>
      <c r="L17" s="285" t="s">
        <v>359</v>
      </c>
      <c r="M17" s="285"/>
      <c r="N17" s="273" t="s">
        <v>218</v>
      </c>
      <c r="O17" s="94"/>
      <c r="P17" s="94">
        <v>511</v>
      </c>
      <c r="Q17" s="94" t="s">
        <v>222</v>
      </c>
      <c r="R17" s="274"/>
      <c r="S17">
        <f>P16*P17</f>
        <v>2044</v>
      </c>
    </row>
    <row r="18" spans="1:19" ht="15.6">
      <c r="A18" s="218" t="s">
        <v>198</v>
      </c>
      <c r="B18" s="219"/>
      <c r="C18" s="219">
        <f t="shared" ref="C18:C23" si="13">E17</f>
        <v>8.2512820512820326</v>
      </c>
      <c r="D18" s="217">
        <f>C18*26%</f>
        <v>2.1453333333333284</v>
      </c>
      <c r="E18" s="219">
        <f t="shared" si="12"/>
        <v>6.1059487179487046</v>
      </c>
      <c r="G18" s="273"/>
      <c r="H18" s="94"/>
      <c r="I18" s="94">
        <v>227</v>
      </c>
      <c r="J18" s="94" t="s">
        <v>219</v>
      </c>
      <c r="K18" s="274"/>
      <c r="L18" s="285">
        <f>I16*I18</f>
        <v>2610.5</v>
      </c>
      <c r="M18" s="286">
        <f>L18*I17</f>
        <v>1333965.5</v>
      </c>
      <c r="N18" s="273"/>
      <c r="O18" s="94"/>
      <c r="P18" s="94">
        <v>227</v>
      </c>
      <c r="Q18" s="94" t="s">
        <v>219</v>
      </c>
      <c r="R18" s="274"/>
    </row>
    <row r="19" spans="1:19" ht="43.2">
      <c r="A19" s="218" t="s">
        <v>200</v>
      </c>
      <c r="B19" s="219"/>
      <c r="C19" s="219">
        <f t="shared" si="13"/>
        <v>6.1059487179487046</v>
      </c>
      <c r="D19" s="217">
        <f>C19*15%</f>
        <v>0.91589230769230567</v>
      </c>
      <c r="E19" s="219">
        <f t="shared" si="12"/>
        <v>5.1900564102563989</v>
      </c>
      <c r="G19" s="273" t="s">
        <v>352</v>
      </c>
      <c r="H19" s="94" t="s">
        <v>338</v>
      </c>
      <c r="I19" s="228" t="s">
        <v>217</v>
      </c>
      <c r="J19" s="94" t="s">
        <v>337</v>
      </c>
      <c r="K19" s="274"/>
      <c r="N19" s="281" t="s">
        <v>220</v>
      </c>
      <c r="O19" s="228" t="s">
        <v>216</v>
      </c>
      <c r="P19" s="228" t="s">
        <v>217</v>
      </c>
      <c r="Q19" s="94" t="s">
        <v>221</v>
      </c>
      <c r="R19" s="274"/>
    </row>
    <row r="20" spans="1:19" ht="15.6">
      <c r="A20" s="218" t="s">
        <v>201</v>
      </c>
      <c r="B20" s="219"/>
      <c r="C20" s="219">
        <f t="shared" si="13"/>
        <v>5.1900564102563989</v>
      </c>
      <c r="D20" s="217">
        <f>C20*27%</f>
        <v>1.4013152307692278</v>
      </c>
      <c r="E20" s="219">
        <f t="shared" si="12"/>
        <v>3.7887411794871708</v>
      </c>
      <c r="F20" s="177" t="s">
        <v>364</v>
      </c>
      <c r="G20" s="305">
        <f>7.8*C30</f>
        <v>51.428777399999881</v>
      </c>
      <c r="H20" s="229">
        <f>G20*I15</f>
        <v>231.42949829999947</v>
      </c>
      <c r="I20" s="302">
        <f>H21/I18</f>
        <v>1.0195132083700416E-3</v>
      </c>
      <c r="J20" s="290">
        <f>I20*I17</f>
        <v>0.52097124947709128</v>
      </c>
      <c r="K20" s="284" t="s">
        <v>349</v>
      </c>
      <c r="L20" s="41"/>
      <c r="N20" s="282">
        <f>7.8*C30</f>
        <v>51.428777399999881</v>
      </c>
      <c r="O20" s="229">
        <f>N20*P15</f>
        <v>231.42949829999947</v>
      </c>
      <c r="P20" s="236">
        <f>O21/P18</f>
        <v>1.0195132083700416E-3</v>
      </c>
      <c r="Q20" s="253">
        <f>P20*P17</f>
        <v>0.52097124947709128</v>
      </c>
      <c r="R20" s="275" t="s">
        <v>328</v>
      </c>
    </row>
    <row r="21" spans="1:19" ht="15.6">
      <c r="A21" s="218" t="s">
        <v>202</v>
      </c>
      <c r="B21" s="219"/>
      <c r="C21" s="287">
        <f t="shared" si="13"/>
        <v>3.7887411794871708</v>
      </c>
      <c r="D21" s="217">
        <f>C21*40.5%</f>
        <v>1.5344401776923042</v>
      </c>
      <c r="E21" s="219">
        <f t="shared" si="12"/>
        <v>2.2543010017948664</v>
      </c>
      <c r="F21" s="177"/>
      <c r="G21" s="305"/>
      <c r="H21" s="96">
        <f>H20/1000</f>
        <v>0.23142949829999945</v>
      </c>
      <c r="I21" s="257"/>
      <c r="J21" s="96"/>
      <c r="K21" s="274"/>
      <c r="N21" s="273"/>
      <c r="O21" s="96">
        <f>O20/1000</f>
        <v>0.23142949829999945</v>
      </c>
      <c r="P21" s="232"/>
      <c r="Q21" s="94"/>
      <c r="R21" s="274"/>
    </row>
    <row r="22" spans="1:19" ht="15.6">
      <c r="A22" s="218" t="s">
        <v>203</v>
      </c>
      <c r="B22" s="219"/>
      <c r="C22" s="219">
        <f t="shared" si="13"/>
        <v>2.2543010017948664</v>
      </c>
      <c r="D22" s="217">
        <f>C22*40.5%</f>
        <v>0.9129919057269209</v>
      </c>
      <c r="E22" s="219">
        <f t="shared" si="12"/>
        <v>1.3413090960679455</v>
      </c>
      <c r="G22" s="288"/>
      <c r="H22" s="96"/>
      <c r="I22" s="96"/>
      <c r="J22" s="96"/>
      <c r="K22" s="274"/>
      <c r="N22" s="273"/>
      <c r="O22" s="94"/>
      <c r="P22" s="232"/>
      <c r="Q22" s="94"/>
      <c r="R22" s="274"/>
    </row>
    <row r="23" spans="1:19" ht="15.6">
      <c r="A23" s="218" t="s">
        <v>204</v>
      </c>
      <c r="B23" s="219"/>
      <c r="C23" s="219">
        <f t="shared" si="13"/>
        <v>1.3413090960679455</v>
      </c>
      <c r="D23" s="217">
        <f t="shared" ref="D23" si="14">C23*40.5%</f>
        <v>0.54323018390751798</v>
      </c>
      <c r="E23" s="219">
        <f t="shared" si="12"/>
        <v>0.79807891216042748</v>
      </c>
      <c r="G23" s="288"/>
      <c r="H23" s="94"/>
      <c r="I23" s="283"/>
      <c r="J23" s="94"/>
      <c r="K23" s="274"/>
      <c r="N23" s="273"/>
      <c r="O23" s="94"/>
      <c r="P23" s="236">
        <f>P20*P16</f>
        <v>4.0780528334801664E-3</v>
      </c>
      <c r="Q23" s="94" t="s">
        <v>329</v>
      </c>
      <c r="R23" s="274"/>
    </row>
    <row r="24" spans="1:19">
      <c r="G24" s="288"/>
      <c r="H24" s="94"/>
      <c r="I24" s="250">
        <f>I20*I17*I16</f>
        <v>5.9911693689865499</v>
      </c>
      <c r="J24" s="254" t="s">
        <v>347</v>
      </c>
      <c r="K24" s="275"/>
      <c r="M24" s="317">
        <f>I20*L18</f>
        <v>2.6614392304499934</v>
      </c>
      <c r="N24" s="273"/>
      <c r="O24" s="94"/>
      <c r="P24" s="249">
        <f>S17*P20</f>
        <v>2.0838849979083651</v>
      </c>
      <c r="Q24" s="254" t="s">
        <v>332</v>
      </c>
      <c r="R24" s="274"/>
    </row>
    <row r="25" spans="1:19">
      <c r="A25" s="94"/>
      <c r="B25" s="94" t="s">
        <v>358</v>
      </c>
      <c r="C25" s="94"/>
      <c r="D25" s="94"/>
      <c r="E25" s="94"/>
      <c r="G25" s="273"/>
      <c r="H25" s="94"/>
      <c r="I25" s="222"/>
      <c r="J25" s="222"/>
      <c r="K25" s="274"/>
      <c r="N25" s="273"/>
      <c r="O25" s="94"/>
      <c r="P25" s="222"/>
      <c r="Q25" s="222"/>
      <c r="R25" s="274"/>
    </row>
    <row r="26" spans="1:19" ht="16.2" thickBot="1">
      <c r="A26" s="218" t="s">
        <v>199</v>
      </c>
      <c r="B26" s="219"/>
      <c r="C26" s="316">
        <f>2*R2</f>
        <v>1610</v>
      </c>
      <c r="D26" s="303">
        <f>C26*34%</f>
        <v>547.40000000000009</v>
      </c>
      <c r="E26" s="306">
        <f t="shared" ref="E26:E31" si="15">C26-D26</f>
        <v>1062.5999999999999</v>
      </c>
      <c r="G26" s="276"/>
      <c r="H26" s="277"/>
      <c r="I26" s="278">
        <f>I24*I27</f>
        <v>1178397.1120165954</v>
      </c>
      <c r="J26" s="277" t="s">
        <v>348</v>
      </c>
      <c r="K26" s="279"/>
      <c r="N26" s="276"/>
      <c r="O26" s="277"/>
      <c r="P26" s="278">
        <f>P24*I29</f>
        <v>20493.862817679921</v>
      </c>
      <c r="Q26" s="277" t="s">
        <v>322</v>
      </c>
      <c r="R26" s="279"/>
    </row>
    <row r="27" spans="1:19" ht="15.6">
      <c r="A27" s="218" t="s">
        <v>198</v>
      </c>
      <c r="B27" s="219"/>
      <c r="C27" s="316">
        <f t="shared" ref="C27:C32" si="16">E26</f>
        <v>1062.5999999999999</v>
      </c>
      <c r="D27" s="303">
        <f>C27*99%</f>
        <v>1051.9739999999999</v>
      </c>
      <c r="E27" s="306">
        <f t="shared" si="15"/>
        <v>10.625999999999976</v>
      </c>
      <c r="G27" s="230" t="s">
        <v>327</v>
      </c>
      <c r="H27" s="233" t="s">
        <v>260</v>
      </c>
      <c r="I27" s="230">
        <v>196689</v>
      </c>
      <c r="L27" s="235"/>
    </row>
    <row r="28" spans="1:19" ht="15.6">
      <c r="A28" s="218" t="s">
        <v>200</v>
      </c>
      <c r="B28" s="219"/>
      <c r="C28" s="316">
        <f t="shared" si="16"/>
        <v>10.625999999999976</v>
      </c>
      <c r="D28" s="303">
        <f>C28*15%</f>
        <v>1.5938999999999963</v>
      </c>
      <c r="E28" s="306">
        <f t="shared" si="15"/>
        <v>9.0320999999999803</v>
      </c>
      <c r="G28" s="230"/>
      <c r="H28" s="230" t="s">
        <v>350</v>
      </c>
      <c r="I28" s="230">
        <f>I27*95%</f>
        <v>186854.55</v>
      </c>
    </row>
    <row r="29" spans="1:19" ht="15.6">
      <c r="A29" s="218" t="s">
        <v>201</v>
      </c>
      <c r="B29" s="219"/>
      <c r="C29" s="316">
        <f t="shared" si="16"/>
        <v>9.0320999999999803</v>
      </c>
      <c r="D29" s="303">
        <f>C29*27%</f>
        <v>2.4386669999999948</v>
      </c>
      <c r="E29" s="306">
        <f t="shared" si="15"/>
        <v>6.593432999999985</v>
      </c>
      <c r="G29" s="230"/>
      <c r="H29" s="230" t="s">
        <v>351</v>
      </c>
      <c r="I29" s="230">
        <f>I27*5%</f>
        <v>9834.4500000000007</v>
      </c>
      <c r="J29" s="116"/>
      <c r="O29" t="s">
        <v>341</v>
      </c>
      <c r="Q29" s="247">
        <v>1300000000</v>
      </c>
    </row>
    <row r="30" spans="1:19" ht="15.6">
      <c r="A30" s="218" t="s">
        <v>202</v>
      </c>
      <c r="B30" s="219"/>
      <c r="C30" s="315">
        <f>E29</f>
        <v>6.593432999999985</v>
      </c>
      <c r="D30" s="303">
        <f>C30*40.5%</f>
        <v>2.6703403649999942</v>
      </c>
      <c r="E30" s="306">
        <f t="shared" si="15"/>
        <v>3.9230926349999908</v>
      </c>
      <c r="L30" s="289"/>
      <c r="Q30" s="252">
        <f>I38/Q29</f>
        <v>4.895383015302008E-2</v>
      </c>
      <c r="R30" t="s">
        <v>342</v>
      </c>
    </row>
    <row r="31" spans="1:19" ht="16.2" thickBot="1">
      <c r="A31" s="218" t="s">
        <v>203</v>
      </c>
      <c r="B31" s="219"/>
      <c r="C31" s="316">
        <f t="shared" si="16"/>
        <v>3.9230926349999908</v>
      </c>
      <c r="D31" s="303">
        <f>C31*40.5%</f>
        <v>1.5888525171749963</v>
      </c>
      <c r="E31" s="306">
        <f t="shared" si="15"/>
        <v>2.3342401178249945</v>
      </c>
      <c r="Q31" s="251"/>
      <c r="R31" t="s">
        <v>345</v>
      </c>
    </row>
    <row r="32" spans="1:19" ht="15.6">
      <c r="A32" s="218" t="s">
        <v>204</v>
      </c>
      <c r="B32" s="219"/>
      <c r="C32" s="316">
        <f t="shared" si="16"/>
        <v>2.3342401178249945</v>
      </c>
      <c r="D32" s="303">
        <f t="shared" ref="D32" si="17">C32*40.5%</f>
        <v>0.94536724771912284</v>
      </c>
      <c r="E32" s="307">
        <f>C32-D32</f>
        <v>1.3888728701058717</v>
      </c>
      <c r="H32" s="258" t="s">
        <v>321</v>
      </c>
      <c r="I32" s="259" t="s">
        <v>320</v>
      </c>
      <c r="J32" s="177"/>
      <c r="K32" s="177"/>
      <c r="L32" s="177"/>
      <c r="M32" s="177"/>
      <c r="N32" s="177"/>
      <c r="Q32" s="246">
        <f>2200000</f>
        <v>2200000</v>
      </c>
      <c r="R32" t="s">
        <v>340</v>
      </c>
    </row>
    <row r="33" spans="2:17">
      <c r="H33" s="291">
        <f>P24*F35</f>
        <v>99.346843973038403</v>
      </c>
      <c r="I33" s="292">
        <f>I24*F35</f>
        <v>285.62217642248544</v>
      </c>
      <c r="J33" s="177" t="s">
        <v>330</v>
      </c>
      <c r="K33" s="177"/>
      <c r="L33" s="177"/>
      <c r="M33" s="177"/>
      <c r="N33" s="177"/>
    </row>
    <row r="34" spans="2:17" ht="15" thickBot="1">
      <c r="H34" s="293">
        <f>P24*F36</f>
        <v>125.7358494033772</v>
      </c>
      <c r="I34" s="294">
        <f>I24*F36</f>
        <v>361.4905670347095</v>
      </c>
      <c r="J34" s="177" t="s">
        <v>331</v>
      </c>
      <c r="K34" s="177"/>
      <c r="L34" s="177"/>
      <c r="M34" s="177"/>
      <c r="N34" s="177"/>
      <c r="Q34" s="235"/>
    </row>
    <row r="35" spans="2:17">
      <c r="F35" s="245">
        <v>47.673861116498614</v>
      </c>
      <c r="G35" t="s">
        <v>346</v>
      </c>
      <c r="I35" s="177" t="s">
        <v>334</v>
      </c>
      <c r="J35" s="177"/>
      <c r="K35" s="248"/>
      <c r="L35" s="177"/>
      <c r="M35" s="177"/>
      <c r="N35" s="177"/>
    </row>
    <row r="36" spans="2:17">
      <c r="F36" s="245">
        <v>60.337230475568788</v>
      </c>
      <c r="G36" t="s">
        <v>346</v>
      </c>
      <c r="I36" s="295">
        <f>K40+L45</f>
        <v>56178740.258362241</v>
      </c>
      <c r="J36" s="177"/>
      <c r="K36" s="248"/>
      <c r="L36" s="177"/>
      <c r="M36" s="177"/>
      <c r="N36" s="177"/>
    </row>
    <row r="37" spans="2:17" ht="15" thickBot="1">
      <c r="I37" s="295">
        <f>K41+L46</f>
        <v>71101218.139489964</v>
      </c>
      <c r="K37" s="237" t="s">
        <v>336</v>
      </c>
      <c r="L37" s="237"/>
      <c r="M37" s="237"/>
      <c r="N37" s="237"/>
      <c r="O37" s="237"/>
      <c r="P37" s="237"/>
    </row>
    <row r="38" spans="2:17" ht="15" thickBot="1">
      <c r="H38" s="260" t="s">
        <v>343</v>
      </c>
      <c r="I38" s="296">
        <f>AVERAGE(I36:I37)</f>
        <v>63639979.198926106</v>
      </c>
      <c r="K38" s="238"/>
      <c r="L38" s="237" t="s">
        <v>330</v>
      </c>
      <c r="M38" s="237"/>
      <c r="N38" s="237"/>
      <c r="O38" s="237"/>
      <c r="P38" s="237"/>
    </row>
    <row r="39" spans="2:17">
      <c r="H39" s="261" t="s">
        <v>354</v>
      </c>
      <c r="I39" s="262">
        <f>I36*110</f>
        <v>6179661428.4198465</v>
      </c>
      <c r="J39" s="263" t="s">
        <v>355</v>
      </c>
      <c r="K39" s="239"/>
      <c r="L39" s="237" t="s">
        <v>331</v>
      </c>
      <c r="M39" s="237"/>
      <c r="N39" s="237"/>
      <c r="O39" s="237"/>
      <c r="P39" s="237"/>
    </row>
    <row r="40" spans="2:17">
      <c r="H40" s="264"/>
      <c r="I40" s="265">
        <f>I37*110</f>
        <v>7821133995.3438959</v>
      </c>
      <c r="J40" s="266" t="s">
        <v>356</v>
      </c>
      <c r="K40" s="238">
        <f>I33*I28</f>
        <v>53369803.245444126</v>
      </c>
      <c r="L40" s="237"/>
      <c r="M40" s="240"/>
      <c r="N40" s="237"/>
      <c r="O40" s="237"/>
      <c r="P40" s="237"/>
    </row>
    <row r="41" spans="2:17" ht="15" thickBot="1">
      <c r="H41" s="267"/>
      <c r="I41" s="268">
        <f>110*I38</f>
        <v>7000397711.8818712</v>
      </c>
      <c r="J41" s="269" t="s">
        <v>357</v>
      </c>
      <c r="K41" s="238">
        <f>I34*I28</f>
        <v>67546157.232515469</v>
      </c>
      <c r="L41" s="237"/>
      <c r="M41" s="240"/>
      <c r="N41" s="237"/>
      <c r="O41" s="237"/>
      <c r="P41" s="237"/>
    </row>
    <row r="42" spans="2:17">
      <c r="B42" s="226"/>
      <c r="J42" s="155" t="s">
        <v>343</v>
      </c>
      <c r="K42" s="239">
        <f>AVERAGE(K40:K41)</f>
        <v>60457980.238979802</v>
      </c>
      <c r="L42" s="241" t="s">
        <v>335</v>
      </c>
      <c r="M42" s="241"/>
      <c r="N42" s="241"/>
      <c r="O42" s="241"/>
      <c r="P42" s="241"/>
      <c r="Q42" s="241"/>
    </row>
    <row r="43" spans="2:17">
      <c r="B43" s="226"/>
      <c r="H43" s="234"/>
      <c r="I43" s="246"/>
      <c r="L43" s="242"/>
      <c r="M43" s="241" t="s">
        <v>330</v>
      </c>
      <c r="N43" s="241"/>
      <c r="O43" s="241"/>
      <c r="P43" s="241"/>
      <c r="Q43" s="241"/>
    </row>
    <row r="44" spans="2:17">
      <c r="L44" s="243"/>
      <c r="M44" s="241" t="s">
        <v>331</v>
      </c>
      <c r="N44" s="241"/>
      <c r="O44" s="241"/>
      <c r="P44" s="241"/>
      <c r="Q44" s="241"/>
    </row>
    <row r="45" spans="2:17">
      <c r="L45" s="242">
        <f>I33*I29</f>
        <v>2808937.0129181123</v>
      </c>
      <c r="M45" s="241"/>
      <c r="N45" s="244"/>
      <c r="O45" s="241"/>
      <c r="P45" s="241"/>
      <c r="Q45" s="241"/>
    </row>
    <row r="46" spans="2:17">
      <c r="L46" s="242">
        <f>I34*I29</f>
        <v>3555060.9069744991</v>
      </c>
      <c r="M46" s="241"/>
      <c r="N46" s="244"/>
      <c r="O46" s="241"/>
      <c r="P46" s="241"/>
      <c r="Q46" s="241"/>
    </row>
    <row r="47" spans="2:17">
      <c r="K47" s="155" t="s">
        <v>343</v>
      </c>
      <c r="L47" s="242">
        <f>AVERAGE(L45:L46)</f>
        <v>3181998.9599463055</v>
      </c>
    </row>
    <row r="48" spans="2:17">
      <c r="L48" s="234"/>
    </row>
    <row r="50" spans="9:9">
      <c r="I50" t="s">
        <v>344</v>
      </c>
    </row>
  </sheetData>
  <phoneticPr fontId="18" type="noConversion"/>
  <pageMargins left="0.7" right="0.7" top="0.75" bottom="0.75" header="0.3" footer="0.3"/>
  <pageSetup orientation="portrait" horizontalDpi="4294967293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0ED7-1CA5-4AB5-86A3-E5107313CD23}">
  <dimension ref="A1:G20"/>
  <sheetViews>
    <sheetView workbookViewId="0">
      <selection activeCell="C28" sqref="C28"/>
    </sheetView>
  </sheetViews>
  <sheetFormatPr defaultRowHeight="14.4"/>
  <cols>
    <col min="1" max="1" width="52.44140625" bestFit="1" customWidth="1"/>
    <col min="2" max="2" width="25.33203125" customWidth="1"/>
  </cols>
  <sheetData>
    <row r="1" spans="1:7">
      <c r="A1" s="310"/>
      <c r="B1" s="310"/>
    </row>
    <row r="6" spans="1:7">
      <c r="G6">
        <v>1198</v>
      </c>
    </row>
    <row r="9" spans="1:7">
      <c r="A9" t="s">
        <v>376</v>
      </c>
      <c r="B9" s="31" t="s">
        <v>377</v>
      </c>
      <c r="F9" t="s">
        <v>281</v>
      </c>
      <c r="G9">
        <v>187406</v>
      </c>
    </row>
    <row r="10" spans="1:7">
      <c r="A10" s="310" t="s">
        <v>369</v>
      </c>
      <c r="B10" s="313">
        <v>196689</v>
      </c>
      <c r="F10" t="s">
        <v>282</v>
      </c>
      <c r="G10">
        <v>237187</v>
      </c>
    </row>
    <row r="11" spans="1:7">
      <c r="A11" s="310" t="s">
        <v>370</v>
      </c>
      <c r="B11" s="313">
        <v>186854.55</v>
      </c>
    </row>
    <row r="12" spans="1:7">
      <c r="A12" s="310" t="s">
        <v>371</v>
      </c>
      <c r="B12" s="313">
        <v>9834.4500000000007</v>
      </c>
    </row>
    <row r="13" spans="1:7">
      <c r="A13" s="310" t="s">
        <v>373</v>
      </c>
      <c r="B13" s="313">
        <v>4.5</v>
      </c>
    </row>
    <row r="14" spans="1:7">
      <c r="A14" s="310" t="s">
        <v>372</v>
      </c>
      <c r="B14" s="313">
        <v>1.8</v>
      </c>
    </row>
    <row r="15" spans="1:7">
      <c r="A15" s="310" t="s">
        <v>374</v>
      </c>
      <c r="B15" s="313">
        <v>11.5</v>
      </c>
    </row>
    <row r="16" spans="1:7">
      <c r="A16" s="310" t="s">
        <v>375</v>
      </c>
      <c r="B16" s="313">
        <v>4</v>
      </c>
    </row>
    <row r="17" spans="1:2">
      <c r="A17" s="310" t="s">
        <v>367</v>
      </c>
      <c r="B17" s="313">
        <v>511</v>
      </c>
    </row>
    <row r="18" spans="1:2">
      <c r="A18" s="310" t="s">
        <v>368</v>
      </c>
      <c r="B18" s="313">
        <v>227</v>
      </c>
    </row>
    <row r="19" spans="1:2">
      <c r="A19" s="310" t="s">
        <v>341</v>
      </c>
      <c r="B19" s="314">
        <v>1300000000</v>
      </c>
    </row>
    <row r="20" spans="1:2">
      <c r="A20" s="310"/>
      <c r="B20" s="3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bat Energetic calcs</vt:lpstr>
      <vt:lpstr>bAT ENERGETIC CALCS (TABLES)</vt:lpstr>
      <vt:lpstr>Sheet1</vt:lpstr>
      <vt:lpstr>Scaling</vt:lpstr>
      <vt:lpstr>FMR equation for consumption</vt:lpstr>
      <vt:lpstr>Final insect weight kjg </vt:lpstr>
      <vt:lpstr>Chalinolobus gouldi calcs</vt:lpstr>
      <vt:lpstr>Egg mortality</vt:lpstr>
      <vt:lpstr>Sheet2</vt:lpstr>
      <vt:lpstr>SM distance</vt:lpstr>
      <vt:lpstr>Potential bird info</vt:lpstr>
    </vt:vector>
  </TitlesOfParts>
  <Company>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Rhiannon Smith</dc:creator>
  <cp:lastModifiedBy>Heidi</cp:lastModifiedBy>
  <dcterms:created xsi:type="dcterms:W3CDTF">2019-10-01T05:17:26Z</dcterms:created>
  <dcterms:modified xsi:type="dcterms:W3CDTF">2020-04-14T04:12:44Z</dcterms:modified>
</cp:coreProperties>
</file>